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fileSharing userName="s349016" algorithmName="SHA-512" hashValue="bQh1oO3VYGJOQuiScr9KRi6mfZjlQ1KLq7zt8tZCGpyuAOn2jP+y1gEW9yfB5BzriIkoqr0Lu33XUlntacSc1A==" saltValue="gBSsEYEnmNkTRVERqk/5HQ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AEP West Trans\True Ups\2023 Annual Update\Filed Documents\"/>
    </mc:Choice>
  </mc:AlternateContent>
  <xr:revisionPtr revIDLastSave="0" documentId="13_ncr:10001_{40CE87CA-B545-4ED7-9DF6-5666BA604131}" xr6:coauthVersionLast="47" xr6:coauthVersionMax="47" xr10:uidLastSave="{00000000-0000-0000-0000-000000000000}"/>
  <bookViews>
    <workbookView xWindow="-120" yWindow="-120" windowWidth="24240" windowHeight="13020" activeTab="3" xr2:uid="{00000000-000D-0000-FFFF-FFFF00000000}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0">Instructions!$A$1:$R$18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9" l="1"/>
  <c r="L3" i="18" l="1"/>
  <c r="H211" i="18"/>
  <c r="H21" i="18" l="1"/>
  <c r="H25" i="18"/>
  <c r="H29" i="18"/>
  <c r="H33" i="18"/>
  <c r="H37" i="18"/>
  <c r="H41" i="18"/>
  <c r="H45" i="18"/>
  <c r="H49" i="18"/>
  <c r="H53" i="18"/>
  <c r="H57" i="18"/>
  <c r="H61" i="18"/>
  <c r="H65" i="18"/>
  <c r="H69" i="18"/>
  <c r="H73" i="18"/>
  <c r="H77" i="18"/>
  <c r="H81" i="18"/>
  <c r="H85" i="18"/>
  <c r="H89" i="18"/>
  <c r="H93" i="18"/>
  <c r="H97" i="18"/>
  <c r="H101" i="18"/>
  <c r="H105" i="18"/>
  <c r="H109" i="18"/>
  <c r="H113" i="18"/>
  <c r="H117" i="18"/>
  <c r="H121" i="18"/>
  <c r="H125" i="18"/>
  <c r="H129" i="18"/>
  <c r="H133" i="18"/>
  <c r="H137" i="18"/>
  <c r="H141" i="18"/>
  <c r="H145" i="18"/>
  <c r="H149" i="18"/>
  <c r="H153" i="18"/>
  <c r="H157" i="18"/>
  <c r="H161" i="18"/>
  <c r="H165" i="18"/>
  <c r="H169" i="18"/>
  <c r="H173" i="18"/>
  <c r="H177" i="18"/>
  <c r="H181" i="18"/>
  <c r="H185" i="18"/>
  <c r="H189" i="18"/>
  <c r="H193" i="18"/>
  <c r="H197" i="18"/>
  <c r="H201" i="18"/>
  <c r="H205" i="18"/>
  <c r="H209" i="18"/>
  <c r="H28" i="18"/>
  <c r="H36" i="18"/>
  <c r="H44" i="18"/>
  <c r="H52" i="18"/>
  <c r="H56" i="18"/>
  <c r="H60" i="18"/>
  <c r="H64" i="18"/>
  <c r="H72" i="18"/>
  <c r="H76" i="18"/>
  <c r="H92" i="18"/>
  <c r="H96" i="18"/>
  <c r="H108" i="18"/>
  <c r="H116" i="18"/>
  <c r="H124" i="18"/>
  <c r="H128" i="18"/>
  <c r="H136" i="18"/>
  <c r="H156" i="18"/>
  <c r="H160" i="18"/>
  <c r="H168" i="18"/>
  <c r="H180" i="18"/>
  <c r="H184" i="18"/>
  <c r="H192" i="18"/>
  <c r="H196" i="18"/>
  <c r="H200" i="18"/>
  <c r="H208" i="18"/>
  <c r="H22" i="18"/>
  <c r="H26" i="18"/>
  <c r="H30" i="18"/>
  <c r="H34" i="18"/>
  <c r="H38" i="18"/>
  <c r="H42" i="18"/>
  <c r="H46" i="18"/>
  <c r="H50" i="18"/>
  <c r="H54" i="18"/>
  <c r="H58" i="18"/>
  <c r="H62" i="18"/>
  <c r="H66" i="18"/>
  <c r="H70" i="18"/>
  <c r="H74" i="18"/>
  <c r="H78" i="18"/>
  <c r="H82" i="18"/>
  <c r="H86" i="18"/>
  <c r="H90" i="18"/>
  <c r="H94" i="18"/>
  <c r="H98" i="18"/>
  <c r="H102" i="18"/>
  <c r="H106" i="18"/>
  <c r="H110" i="18"/>
  <c r="H114" i="18"/>
  <c r="H118" i="18"/>
  <c r="H122" i="18"/>
  <c r="H126" i="18"/>
  <c r="H130" i="18"/>
  <c r="H134" i="18"/>
  <c r="H138" i="18"/>
  <c r="H142" i="18"/>
  <c r="H146" i="18"/>
  <c r="H150" i="18"/>
  <c r="H154" i="18"/>
  <c r="H158" i="18"/>
  <c r="H162" i="18"/>
  <c r="H166" i="18"/>
  <c r="H170" i="18"/>
  <c r="H174" i="18"/>
  <c r="H178" i="18"/>
  <c r="H182" i="18"/>
  <c r="H186" i="18"/>
  <c r="H190" i="18"/>
  <c r="H194" i="18"/>
  <c r="H198" i="18"/>
  <c r="H202" i="18"/>
  <c r="H206" i="18"/>
  <c r="H210" i="18"/>
  <c r="H20" i="18"/>
  <c r="H24" i="18"/>
  <c r="H32" i="18"/>
  <c r="H40" i="18"/>
  <c r="H48" i="18"/>
  <c r="H68" i="18"/>
  <c r="H80" i="18"/>
  <c r="H84" i="18"/>
  <c r="H88" i="18"/>
  <c r="H100" i="18"/>
  <c r="H104" i="18"/>
  <c r="H112" i="18"/>
  <c r="H120" i="18"/>
  <c r="H132" i="18"/>
  <c r="H140" i="18"/>
  <c r="H144" i="18"/>
  <c r="H148" i="18"/>
  <c r="H152" i="18"/>
  <c r="H164" i="18"/>
  <c r="H172" i="18"/>
  <c r="H176" i="18"/>
  <c r="H188" i="18"/>
  <c r="H204" i="18"/>
  <c r="H23" i="18"/>
  <c r="H27" i="18"/>
  <c r="H31" i="18"/>
  <c r="H35" i="18"/>
  <c r="H39" i="18"/>
  <c r="H43" i="18"/>
  <c r="H47" i="18"/>
  <c r="H51" i="18"/>
  <c r="H55" i="18"/>
  <c r="H59" i="18"/>
  <c r="H63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J38" i="29" l="1"/>
  <c r="E11" i="29"/>
  <c r="K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66" i="18" s="1"/>
  <c r="D38" i="18"/>
  <c r="D62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D175" i="18" s="1"/>
  <c r="B31" i="18"/>
  <c r="D42" i="18"/>
  <c r="D54" i="18" s="1"/>
  <c r="B30" i="18"/>
  <c r="D41" i="18"/>
  <c r="D65" i="18" s="1"/>
  <c r="B29" i="18"/>
  <c r="B28" i="18"/>
  <c r="C39" i="18"/>
  <c r="D39" i="18"/>
  <c r="D51" i="18" s="1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55" i="18" s="1"/>
  <c r="B175" i="18"/>
  <c r="B174" i="18"/>
  <c r="B173" i="18"/>
  <c r="B172" i="18"/>
  <c r="B171" i="18"/>
  <c r="C38" i="18"/>
  <c r="C50" i="18" s="1"/>
  <c r="B170" i="18"/>
  <c r="C37" i="18"/>
  <c r="B169" i="18"/>
  <c r="B168" i="18"/>
  <c r="B167" i="18"/>
  <c r="B166" i="18"/>
  <c r="C33" i="18"/>
  <c r="C45" i="18" s="1"/>
  <c r="B165" i="18"/>
  <c r="C32" i="18"/>
  <c r="C44" i="18" s="1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2" i="18" s="1"/>
  <c r="D35" i="18"/>
  <c r="D59" i="18" s="1"/>
  <c r="D83" i="18" s="1"/>
  <c r="D95" i="18" s="1"/>
  <c r="D107" i="18" s="1"/>
  <c r="D119" i="18" s="1"/>
  <c r="D131" i="18" s="1"/>
  <c r="D143" i="18" s="1"/>
  <c r="D155" i="18" s="1"/>
  <c r="D37" i="18"/>
  <c r="D61" i="18" s="1"/>
  <c r="D40" i="18"/>
  <c r="D33" i="18"/>
  <c r="D45" i="18" s="1"/>
  <c r="D34" i="18"/>
  <c r="D58" i="18" s="1"/>
  <c r="C54" i="18"/>
  <c r="C49" i="18"/>
  <c r="C61" i="18"/>
  <c r="C85" i="18" s="1"/>
  <c r="C97" i="18" s="1"/>
  <c r="C109" i="18" s="1"/>
  <c r="C121" i="18" s="1"/>
  <c r="C133" i="18" s="1"/>
  <c r="C145" i="18" s="1"/>
  <c r="C157" i="18" s="1"/>
  <c r="C181" i="18" s="1"/>
  <c r="C193" i="18" s="1"/>
  <c r="C205" i="18" s="1"/>
  <c r="D53" i="18"/>
  <c r="C51" i="18"/>
  <c r="C63" i="18"/>
  <c r="C87" i="18" s="1"/>
  <c r="C99" i="18" s="1"/>
  <c r="C111" i="18" s="1"/>
  <c r="C123" i="18" s="1"/>
  <c r="C135" i="18" s="1"/>
  <c r="C147" i="18" s="1"/>
  <c r="C159" i="18" s="1"/>
  <c r="D79" i="18"/>
  <c r="C3" i="29"/>
  <c r="K149" i="18"/>
  <c r="K103" i="18"/>
  <c r="K161" i="18"/>
  <c r="K175" i="18"/>
  <c r="K150" i="18"/>
  <c r="K174" i="18"/>
  <c r="K151" i="18"/>
  <c r="K75" i="18"/>
  <c r="K173" i="18"/>
  <c r="K40" i="18"/>
  <c r="K39" i="18"/>
  <c r="K64" i="18"/>
  <c r="K195" i="18"/>
  <c r="K162" i="18"/>
  <c r="K77" i="18"/>
  <c r="K79" i="18"/>
  <c r="K55" i="18"/>
  <c r="K199" i="18"/>
  <c r="K78" i="18"/>
  <c r="H25" i="29"/>
  <c r="E24" i="29"/>
  <c r="D33" i="29"/>
  <c r="D36" i="29"/>
  <c r="G24" i="29"/>
  <c r="E25" i="29"/>
  <c r="E28" i="29"/>
  <c r="G37" i="29"/>
  <c r="E32" i="29"/>
  <c r="E35" i="29"/>
  <c r="E27" i="29"/>
  <c r="G28" i="29"/>
  <c r="H27" i="29"/>
  <c r="G33" i="29"/>
  <c r="H36" i="29"/>
  <c r="H32" i="29"/>
  <c r="E29" i="29"/>
  <c r="H24" i="29"/>
  <c r="G23" i="29"/>
  <c r="E21" i="29"/>
  <c r="H30" i="29"/>
  <c r="D30" i="29"/>
  <c r="D27" i="29"/>
  <c r="G22" i="29"/>
  <c r="E30" i="29"/>
  <c r="H31" i="29"/>
  <c r="D32" i="29"/>
  <c r="E33" i="29"/>
  <c r="H35" i="29"/>
  <c r="D26" i="29"/>
  <c r="E36" i="29"/>
  <c r="H22" i="29"/>
  <c r="E23" i="29"/>
  <c r="G26" i="29"/>
  <c r="G36" i="29"/>
  <c r="H33" i="29"/>
  <c r="H37" i="29"/>
  <c r="G32" i="29"/>
  <c r="E22" i="29"/>
  <c r="D24" i="29"/>
  <c r="H29" i="29"/>
  <c r="D22" i="29"/>
  <c r="H23" i="29"/>
  <c r="D31" i="29"/>
  <c r="E37" i="29"/>
  <c r="E26" i="29"/>
  <c r="D23" i="29"/>
  <c r="G27" i="29"/>
  <c r="D21" i="29"/>
  <c r="D35" i="29"/>
  <c r="H21" i="29"/>
  <c r="G35" i="29"/>
  <c r="G21" i="29"/>
  <c r="H28" i="29"/>
  <c r="G31" i="29"/>
  <c r="G25" i="29"/>
  <c r="E31" i="29"/>
  <c r="G30" i="29"/>
  <c r="H26" i="29"/>
  <c r="D25" i="29"/>
  <c r="D28" i="29"/>
  <c r="D29" i="29"/>
  <c r="D37" i="29"/>
  <c r="G29" i="29"/>
  <c r="C57" i="18" l="1"/>
  <c r="C81" i="18" s="1"/>
  <c r="C93" i="18" s="1"/>
  <c r="C105" i="18" s="1"/>
  <c r="C117" i="18" s="1"/>
  <c r="C129" i="18" s="1"/>
  <c r="C141" i="18" s="1"/>
  <c r="C153" i="18" s="1"/>
  <c r="C165" i="18" s="1"/>
  <c r="D55" i="18"/>
  <c r="D66" i="18"/>
  <c r="D78" i="18" s="1"/>
  <c r="C64" i="18"/>
  <c r="C76" i="18" s="1"/>
  <c r="C56" i="18"/>
  <c r="C80" i="18" s="1"/>
  <c r="C92" i="18" s="1"/>
  <c r="C104" i="18" s="1"/>
  <c r="C116" i="18" s="1"/>
  <c r="C128" i="18" s="1"/>
  <c r="C140" i="18" s="1"/>
  <c r="C152" i="18" s="1"/>
  <c r="D63" i="18"/>
  <c r="D87" i="18" s="1"/>
  <c r="D99" i="18" s="1"/>
  <c r="D111" i="18" s="1"/>
  <c r="D123" i="18" s="1"/>
  <c r="D135" i="18" s="1"/>
  <c r="D147" i="18" s="1"/>
  <c r="D159" i="18" s="1"/>
  <c r="D171" i="18" s="1"/>
  <c r="C53" i="18"/>
  <c r="C75" i="18"/>
  <c r="C88" i="18"/>
  <c r="C100" i="18" s="1"/>
  <c r="C112" i="18" s="1"/>
  <c r="C124" i="18" s="1"/>
  <c r="C136" i="18" s="1"/>
  <c r="C148" i="18" s="1"/>
  <c r="C160" i="18" s="1"/>
  <c r="C172" i="18" s="1"/>
  <c r="D50" i="18"/>
  <c r="C73" i="18"/>
  <c r="F10" i="29"/>
  <c r="E20" i="29"/>
  <c r="D20" i="29"/>
  <c r="E10" i="29"/>
  <c r="C78" i="18"/>
  <c r="C90" i="18"/>
  <c r="C102" i="18" s="1"/>
  <c r="C114" i="18" s="1"/>
  <c r="C126" i="18" s="1"/>
  <c r="C138" i="18" s="1"/>
  <c r="C150" i="18" s="1"/>
  <c r="C162" i="18" s="1"/>
  <c r="C174" i="18" s="1"/>
  <c r="C72" i="18"/>
  <c r="D46" i="18"/>
  <c r="D57" i="18"/>
  <c r="C68" i="18"/>
  <c r="O13" i="18"/>
  <c r="K53" i="18"/>
  <c r="K184" i="18"/>
  <c r="K67" i="18"/>
  <c r="K66" i="18"/>
  <c r="K54" i="18"/>
  <c r="K76" i="18"/>
  <c r="K148" i="18"/>
  <c r="K30" i="18"/>
  <c r="K43" i="18"/>
  <c r="K159" i="18"/>
  <c r="K135" i="18"/>
  <c r="K172" i="18"/>
  <c r="K198" i="18"/>
  <c r="K91" i="18"/>
  <c r="K41" i="18"/>
  <c r="K87" i="18"/>
  <c r="K136" i="18"/>
  <c r="K209" i="18"/>
  <c r="K138" i="18"/>
  <c r="K185" i="18"/>
  <c r="K124" i="18"/>
  <c r="K63" i="18"/>
  <c r="K137" i="18"/>
  <c r="K31" i="18"/>
  <c r="K171" i="18"/>
  <c r="K65" i="18"/>
  <c r="K147" i="18"/>
  <c r="K208" i="18"/>
  <c r="K29" i="18"/>
  <c r="K114" i="18"/>
  <c r="K89" i="18"/>
  <c r="K42" i="18"/>
  <c r="K102" i="18"/>
  <c r="K113" i="18"/>
  <c r="K123" i="18"/>
  <c r="K101" i="18"/>
  <c r="K207" i="18"/>
  <c r="K196" i="18"/>
  <c r="K51" i="18"/>
  <c r="K186" i="18"/>
  <c r="K90" i="18"/>
  <c r="K111" i="18"/>
  <c r="K27" i="18"/>
  <c r="K183" i="18"/>
  <c r="K100" i="18"/>
  <c r="K210" i="18"/>
  <c r="K99" i="18"/>
  <c r="K52" i="18"/>
  <c r="K197" i="18"/>
  <c r="K126" i="18"/>
  <c r="K139" i="18"/>
  <c r="E13" i="29"/>
  <c r="K187" i="18"/>
  <c r="K28" i="18"/>
  <c r="K115" i="18"/>
  <c r="K127" i="18"/>
  <c r="K88" i="18"/>
  <c r="K160" i="18"/>
  <c r="J34" i="29"/>
  <c r="J39" i="29" s="1"/>
  <c r="G212" i="18"/>
  <c r="K125" i="18"/>
  <c r="K211" i="18"/>
  <c r="C67" i="18"/>
  <c r="C91" i="18" s="1"/>
  <c r="C103" i="18" s="1"/>
  <c r="C115" i="18" s="1"/>
  <c r="C127" i="18" s="1"/>
  <c r="C139" i="18" s="1"/>
  <c r="C151" i="18" s="1"/>
  <c r="C163" i="18" s="1"/>
  <c r="D90" i="18"/>
  <c r="D102" i="18" s="1"/>
  <c r="D114" i="18" s="1"/>
  <c r="D126" i="18" s="1"/>
  <c r="D138" i="18" s="1"/>
  <c r="D150" i="18" s="1"/>
  <c r="D162" i="18" s="1"/>
  <c r="D174" i="18" s="1"/>
  <c r="D77" i="18"/>
  <c r="D89" i="18"/>
  <c r="D101" i="18" s="1"/>
  <c r="D113" i="18" s="1"/>
  <c r="D125" i="18" s="1"/>
  <c r="D137" i="18" s="1"/>
  <c r="D149" i="18" s="1"/>
  <c r="D161" i="18" s="1"/>
  <c r="D185" i="18" s="1"/>
  <c r="D197" i="18" s="1"/>
  <c r="D209" i="18" s="1"/>
  <c r="D74" i="18"/>
  <c r="D86" i="18"/>
  <c r="D98" i="18" s="1"/>
  <c r="D110" i="18" s="1"/>
  <c r="D122" i="18" s="1"/>
  <c r="D134" i="18" s="1"/>
  <c r="D146" i="18" s="1"/>
  <c r="D158" i="18" s="1"/>
  <c r="D170" i="18" s="1"/>
  <c r="C62" i="18"/>
  <c r="D49" i="18"/>
  <c r="D60" i="18"/>
  <c r="D72" i="18" s="1"/>
  <c r="C48" i="18"/>
  <c r="D71" i="18"/>
  <c r="C58" i="18"/>
  <c r="C69" i="18"/>
  <c r="D56" i="18"/>
  <c r="D80" i="18" s="1"/>
  <c r="D92" i="18" s="1"/>
  <c r="D104" i="18" s="1"/>
  <c r="D116" i="18" s="1"/>
  <c r="D128" i="18" s="1"/>
  <c r="D140" i="18" s="1"/>
  <c r="D152" i="18" s="1"/>
  <c r="F29" i="29"/>
  <c r="I29" i="29" s="1"/>
  <c r="K29" i="29" s="1"/>
  <c r="F32" i="29"/>
  <c r="I32" i="29" s="1"/>
  <c r="K32" i="29" s="1"/>
  <c r="F24" i="29"/>
  <c r="I24" i="29" s="1"/>
  <c r="K24" i="29" s="1"/>
  <c r="F30" i="29"/>
  <c r="I30" i="29" s="1"/>
  <c r="K30" i="29" s="1"/>
  <c r="H34" i="29"/>
  <c r="F37" i="29"/>
  <c r="I37" i="29" s="1"/>
  <c r="K37" i="29" s="1"/>
  <c r="G34" i="29"/>
  <c r="F27" i="29"/>
  <c r="I27" i="29" s="1"/>
  <c r="K27" i="29" s="1"/>
  <c r="F33" i="29"/>
  <c r="I33" i="29" s="1"/>
  <c r="K33" i="29" s="1"/>
  <c r="E34" i="29"/>
  <c r="F22" i="29"/>
  <c r="I22" i="29" s="1"/>
  <c r="K22" i="29" s="1"/>
  <c r="H38" i="29"/>
  <c r="F21" i="29"/>
  <c r="D34" i="29"/>
  <c r="F35" i="29"/>
  <c r="D38" i="29"/>
  <c r="F25" i="29"/>
  <c r="I25" i="29" s="1"/>
  <c r="K25" i="29" s="1"/>
  <c r="F28" i="29"/>
  <c r="I28" i="29" s="1"/>
  <c r="K28" i="29" s="1"/>
  <c r="E38" i="29"/>
  <c r="F31" i="29"/>
  <c r="I31" i="29" s="1"/>
  <c r="K31" i="29" s="1"/>
  <c r="G38" i="29"/>
  <c r="F36" i="29"/>
  <c r="I36" i="29" s="1"/>
  <c r="K36" i="29" s="1"/>
  <c r="F26" i="29"/>
  <c r="I26" i="29" s="1"/>
  <c r="K26" i="29" s="1"/>
  <c r="F23" i="29"/>
  <c r="I23" i="29" s="1"/>
  <c r="K23" i="29" s="1"/>
  <c r="C164" i="18"/>
  <c r="C176" i="18"/>
  <c r="C188" i="18" s="1"/>
  <c r="C200" i="18" s="1"/>
  <c r="C180" i="18"/>
  <c r="C192" i="18" s="1"/>
  <c r="C204" i="18" s="1"/>
  <c r="C168" i="18"/>
  <c r="D182" i="18"/>
  <c r="D194" i="18" s="1"/>
  <c r="D206" i="18" s="1"/>
  <c r="D173" i="18"/>
  <c r="O14" i="18"/>
  <c r="C171" i="18"/>
  <c r="C183" i="18"/>
  <c r="C195" i="18" s="1"/>
  <c r="C207" i="18" s="1"/>
  <c r="D167" i="18"/>
  <c r="D179" i="18"/>
  <c r="D191" i="18" s="1"/>
  <c r="D203" i="18" s="1"/>
  <c r="D70" i="18"/>
  <c r="D82" i="18"/>
  <c r="D94" i="18" s="1"/>
  <c r="D106" i="18" s="1"/>
  <c r="D118" i="18" s="1"/>
  <c r="D130" i="18" s="1"/>
  <c r="D142" i="18" s="1"/>
  <c r="D154" i="18" s="1"/>
  <c r="C47" i="18"/>
  <c r="C59" i="18"/>
  <c r="C169" i="18"/>
  <c r="D187" i="18"/>
  <c r="D199" i="18" s="1"/>
  <c r="D211" i="18" s="1"/>
  <c r="D85" i="18"/>
  <c r="D97" i="18" s="1"/>
  <c r="D109" i="18" s="1"/>
  <c r="D121" i="18" s="1"/>
  <c r="D133" i="18" s="1"/>
  <c r="D145" i="18" s="1"/>
  <c r="D157" i="18" s="1"/>
  <c r="D73" i="18"/>
  <c r="D47" i="18"/>
  <c r="C79" i="18"/>
  <c r="C89" i="18"/>
  <c r="C101" i="18" s="1"/>
  <c r="C113" i="18" s="1"/>
  <c r="C125" i="18" s="1"/>
  <c r="C137" i="18" s="1"/>
  <c r="C149" i="18" s="1"/>
  <c r="C161" i="18" s="1"/>
  <c r="C77" i="18"/>
  <c r="D69" i="18"/>
  <c r="D81" i="18"/>
  <c r="D93" i="18" s="1"/>
  <c r="D105" i="18" s="1"/>
  <c r="D117" i="18" s="1"/>
  <c r="D129" i="18" s="1"/>
  <c r="D141" i="18" s="1"/>
  <c r="D153" i="18" s="1"/>
  <c r="K163" i="18"/>
  <c r="K112" i="18"/>
  <c r="D64" i="18"/>
  <c r="D52" i="18"/>
  <c r="D183" i="18" l="1"/>
  <c r="D195" i="18" s="1"/>
  <c r="D207" i="18" s="1"/>
  <c r="C177" i="18"/>
  <c r="C189" i="18" s="1"/>
  <c r="C201" i="18" s="1"/>
  <c r="C186" i="18"/>
  <c r="C198" i="18" s="1"/>
  <c r="C210" i="18" s="1"/>
  <c r="D75" i="18"/>
  <c r="C184" i="18"/>
  <c r="C196" i="18" s="1"/>
  <c r="C208" i="18" s="1"/>
  <c r="D84" i="18"/>
  <c r="D96" i="18" s="1"/>
  <c r="D108" i="18" s="1"/>
  <c r="D120" i="18" s="1"/>
  <c r="D132" i="18" s="1"/>
  <c r="D144" i="18" s="1"/>
  <c r="D156" i="18" s="1"/>
  <c r="D180" i="18" s="1"/>
  <c r="D192" i="18" s="1"/>
  <c r="D204" i="18" s="1"/>
  <c r="D186" i="18"/>
  <c r="D198" i="18" s="1"/>
  <c r="D210" i="18" s="1"/>
  <c r="D68" i="18"/>
  <c r="G39" i="29"/>
  <c r="C86" i="18"/>
  <c r="C98" i="18" s="1"/>
  <c r="C110" i="18" s="1"/>
  <c r="C122" i="18" s="1"/>
  <c r="C134" i="18" s="1"/>
  <c r="C146" i="18" s="1"/>
  <c r="C158" i="18" s="1"/>
  <c r="C74" i="18"/>
  <c r="C82" i="18"/>
  <c r="C94" i="18" s="1"/>
  <c r="C106" i="18" s="1"/>
  <c r="C118" i="18" s="1"/>
  <c r="C130" i="18" s="1"/>
  <c r="C142" i="18" s="1"/>
  <c r="C154" i="18" s="1"/>
  <c r="C70" i="18"/>
  <c r="D177" i="18"/>
  <c r="D189" i="18" s="1"/>
  <c r="D201" i="18" s="1"/>
  <c r="D165" i="18"/>
  <c r="D164" i="18"/>
  <c r="D176" i="18"/>
  <c r="D188" i="18" s="1"/>
  <c r="D200" i="18" s="1"/>
  <c r="I35" i="29"/>
  <c r="F38" i="29"/>
  <c r="P13" i="18"/>
  <c r="C173" i="18"/>
  <c r="C185" i="18"/>
  <c r="C197" i="18" s="1"/>
  <c r="C209" i="18" s="1"/>
  <c r="P14" i="18"/>
  <c r="P212" i="18"/>
  <c r="D166" i="18"/>
  <c r="D178" i="18"/>
  <c r="D190" i="18" s="1"/>
  <c r="D202" i="18" s="1"/>
  <c r="D39" i="29"/>
  <c r="E39" i="29"/>
  <c r="D88" i="18"/>
  <c r="D100" i="18" s="1"/>
  <c r="D112" i="18" s="1"/>
  <c r="D124" i="18" s="1"/>
  <c r="D136" i="18" s="1"/>
  <c r="D148" i="18" s="1"/>
  <c r="D160" i="18" s="1"/>
  <c r="D76" i="18"/>
  <c r="C175" i="18"/>
  <c r="C187" i="18"/>
  <c r="C199" i="18" s="1"/>
  <c r="C211" i="18" s="1"/>
  <c r="D181" i="18"/>
  <c r="D193" i="18" s="1"/>
  <c r="D205" i="18" s="1"/>
  <c r="D169" i="18"/>
  <c r="C83" i="18"/>
  <c r="C95" i="18" s="1"/>
  <c r="C107" i="18" s="1"/>
  <c r="C119" i="18" s="1"/>
  <c r="C131" i="18" s="1"/>
  <c r="C143" i="18" s="1"/>
  <c r="C155" i="18" s="1"/>
  <c r="C71" i="18"/>
  <c r="F34" i="29"/>
  <c r="I21" i="29"/>
  <c r="H39" i="29"/>
  <c r="D168" i="18" l="1"/>
  <c r="F39" i="29"/>
  <c r="Q13" i="18"/>
  <c r="Q14" i="18"/>
  <c r="C170" i="18"/>
  <c r="C182" i="18"/>
  <c r="C194" i="18" s="1"/>
  <c r="C206" i="18" s="1"/>
  <c r="C178" i="18"/>
  <c r="C190" i="18" s="1"/>
  <c r="C202" i="18" s="1"/>
  <c r="C166" i="18"/>
  <c r="K21" i="29"/>
  <c r="I34" i="29"/>
  <c r="I38" i="29"/>
  <c r="K38" i="29" s="1"/>
  <c r="K35" i="29"/>
  <c r="C167" i="18"/>
  <c r="C179" i="18"/>
  <c r="C191" i="18" s="1"/>
  <c r="C203" i="18" s="1"/>
  <c r="D184" i="18"/>
  <c r="D196" i="18" s="1"/>
  <c r="D208" i="18" s="1"/>
  <c r="D172" i="18"/>
  <c r="K34" i="29" l="1"/>
  <c r="I39" i="29"/>
  <c r="K39" i="29" l="1"/>
  <c r="K204" i="18" l="1"/>
  <c r="K200" i="18"/>
  <c r="K192" i="18"/>
  <c r="K188" i="18"/>
  <c r="K180" i="18"/>
  <c r="K176" i="18"/>
  <c r="K168" i="18"/>
  <c r="K164" i="18"/>
  <c r="K156" i="18"/>
  <c r="K152" i="18"/>
  <c r="K144" i="18"/>
  <c r="K140" i="18"/>
  <c r="K132" i="18"/>
  <c r="K128" i="18"/>
  <c r="K120" i="18"/>
  <c r="K116" i="18"/>
  <c r="K108" i="18"/>
  <c r="K104" i="18"/>
  <c r="K96" i="18"/>
  <c r="K92" i="18"/>
  <c r="K84" i="18"/>
  <c r="K80" i="18"/>
  <c r="K72" i="18"/>
  <c r="K68" i="18"/>
  <c r="K60" i="18"/>
  <c r="K206" i="18"/>
  <c r="K202" i="18"/>
  <c r="K194" i="18"/>
  <c r="K190" i="18"/>
  <c r="K182" i="18"/>
  <c r="K178" i="18"/>
  <c r="K170" i="18"/>
  <c r="K166" i="18"/>
  <c r="K158" i="18"/>
  <c r="K205" i="18"/>
  <c r="K189" i="18"/>
  <c r="K181" i="18"/>
  <c r="K165" i="18"/>
  <c r="K157" i="18"/>
  <c r="K146" i="18"/>
  <c r="K141" i="18"/>
  <c r="K130" i="18"/>
  <c r="K119" i="18"/>
  <c r="K109" i="18"/>
  <c r="K98" i="18"/>
  <c r="K93" i="18"/>
  <c r="K82" i="18"/>
  <c r="K71" i="18"/>
  <c r="K61" i="18"/>
  <c r="K56" i="18"/>
  <c r="K48" i="18"/>
  <c r="K44" i="18"/>
  <c r="K36" i="18"/>
  <c r="K32" i="18"/>
  <c r="K23" i="18"/>
  <c r="K203" i="18"/>
  <c r="K179" i="18"/>
  <c r="K155" i="18"/>
  <c r="K145" i="18"/>
  <c r="K134" i="18"/>
  <c r="K129" i="18"/>
  <c r="K118" i="18"/>
  <c r="K107" i="18"/>
  <c r="K97" i="18"/>
  <c r="K86" i="18"/>
  <c r="K81" i="18"/>
  <c r="K70" i="18"/>
  <c r="K59" i="18"/>
  <c r="K47" i="18"/>
  <c r="K35" i="18"/>
  <c r="K26" i="18"/>
  <c r="K22" i="18"/>
  <c r="K191" i="18"/>
  <c r="K105" i="18"/>
  <c r="K94" i="18"/>
  <c r="K83" i="18"/>
  <c r="K73" i="18"/>
  <c r="K62" i="18"/>
  <c r="K45" i="18"/>
  <c r="K37" i="18"/>
  <c r="K24" i="18"/>
  <c r="K167" i="18"/>
  <c r="K131" i="18"/>
  <c r="K57" i="18"/>
  <c r="K20" i="18"/>
  <c r="K201" i="18"/>
  <c r="K169" i="18"/>
  <c r="K154" i="18"/>
  <c r="K143" i="18"/>
  <c r="K133" i="18"/>
  <c r="K122" i="18"/>
  <c r="K69" i="18"/>
  <c r="K58" i="18"/>
  <c r="K50" i="18"/>
  <c r="K34" i="18"/>
  <c r="K21" i="18"/>
  <c r="K153" i="18"/>
  <c r="K142" i="18"/>
  <c r="K121" i="18"/>
  <c r="K110" i="18"/>
  <c r="K49" i="18"/>
  <c r="K33" i="18"/>
  <c r="K193" i="18"/>
  <c r="K177" i="18"/>
  <c r="K117" i="18"/>
  <c r="K106" i="18"/>
  <c r="K95" i="18"/>
  <c r="K85" i="18"/>
  <c r="K74" i="18"/>
  <c r="K46" i="18"/>
  <c r="K38" i="18"/>
  <c r="K25" i="18"/>
  <c r="K14" i="18" l="1"/>
  <c r="K212" i="18"/>
  <c r="K13" i="18"/>
  <c r="F12" i="29" l="1"/>
  <c r="I137" i="18" l="1"/>
  <c r="J137" i="18" s="1"/>
  <c r="L137" i="18" s="1"/>
  <c r="I75" i="18"/>
  <c r="J75" i="18" s="1"/>
  <c r="L75" i="18" s="1"/>
  <c r="I173" i="18"/>
  <c r="J173" i="18" s="1"/>
  <c r="L173" i="18" s="1"/>
  <c r="I191" i="18"/>
  <c r="J191" i="18" s="1"/>
  <c r="L191" i="18" s="1"/>
  <c r="I165" i="18"/>
  <c r="J165" i="18" s="1"/>
  <c r="L165" i="18" s="1"/>
  <c r="I197" i="18"/>
  <c r="J197" i="18" s="1"/>
  <c r="L197" i="18" s="1"/>
  <c r="I178" i="18"/>
  <c r="J178" i="18" s="1"/>
  <c r="L178" i="18" s="1"/>
  <c r="I170" i="18"/>
  <c r="J170" i="18" s="1"/>
  <c r="L170" i="18" s="1"/>
  <c r="I55" i="18"/>
  <c r="J55" i="18" s="1"/>
  <c r="L55" i="18" s="1"/>
  <c r="I58" i="18"/>
  <c r="J58" i="18" s="1"/>
  <c r="L58" i="18" s="1"/>
  <c r="I157" i="18"/>
  <c r="J157" i="18" s="1"/>
  <c r="L157" i="18" s="1"/>
  <c r="I146" i="18"/>
  <c r="J146" i="18" s="1"/>
  <c r="L146" i="18" s="1"/>
  <c r="I53" i="18"/>
  <c r="J53" i="18" s="1"/>
  <c r="L53" i="18" s="1"/>
  <c r="I144" i="18"/>
  <c r="J144" i="18" s="1"/>
  <c r="L144" i="18" s="1"/>
  <c r="I128" i="18"/>
  <c r="J128" i="18" s="1"/>
  <c r="L128" i="18" s="1"/>
  <c r="I136" i="18"/>
  <c r="J136" i="18" s="1"/>
  <c r="L136" i="18" s="1"/>
  <c r="I209" i="18"/>
  <c r="J209" i="18" s="1"/>
  <c r="L209" i="18" s="1"/>
  <c r="I150" i="18"/>
  <c r="J150" i="18" s="1"/>
  <c r="L150" i="18" s="1"/>
  <c r="I102" i="18"/>
  <c r="J102" i="18" s="1"/>
  <c r="L102" i="18" s="1"/>
  <c r="I192" i="18"/>
  <c r="J192" i="18" s="1"/>
  <c r="L192" i="18" s="1"/>
  <c r="I56" i="18"/>
  <c r="J56" i="18" s="1"/>
  <c r="I123" i="18"/>
  <c r="J123" i="18" s="1"/>
  <c r="L123" i="18" s="1"/>
  <c r="I188" i="18"/>
  <c r="J188" i="18" s="1"/>
  <c r="L188" i="18" s="1"/>
  <c r="I169" i="18"/>
  <c r="J169" i="18" s="1"/>
  <c r="L169" i="18" s="1"/>
  <c r="I63" i="18"/>
  <c r="J63" i="18" s="1"/>
  <c r="L63" i="18" s="1"/>
  <c r="I126" i="18"/>
  <c r="J126" i="18" s="1"/>
  <c r="L126" i="18" s="1"/>
  <c r="I185" i="18"/>
  <c r="J185" i="18" s="1"/>
  <c r="L185" i="18" s="1"/>
  <c r="I61" i="18"/>
  <c r="J61" i="18" s="1"/>
  <c r="L61" i="18" s="1"/>
  <c r="I69" i="18"/>
  <c r="J69" i="18" s="1"/>
  <c r="L69" i="18" s="1"/>
  <c r="I179" i="18"/>
  <c r="J179" i="18" s="1"/>
  <c r="L179" i="18" s="1"/>
  <c r="I132" i="18"/>
  <c r="J132" i="18" s="1"/>
  <c r="L132" i="18" s="1"/>
  <c r="I30" i="18"/>
  <c r="J30" i="18" s="1"/>
  <c r="L30" i="18" s="1"/>
  <c r="I182" i="18"/>
  <c r="J182" i="18" s="1"/>
  <c r="L182" i="18" s="1"/>
  <c r="I83" i="18"/>
  <c r="J83" i="18" s="1"/>
  <c r="L83" i="18" s="1"/>
  <c r="I91" i="18"/>
  <c r="J91" i="18" s="1"/>
  <c r="L91" i="18" s="1"/>
  <c r="I109" i="18"/>
  <c r="J109" i="18" s="1"/>
  <c r="L109" i="18" s="1"/>
  <c r="I142" i="18"/>
  <c r="J142" i="18" s="1"/>
  <c r="L142" i="18" s="1"/>
  <c r="I67" i="18"/>
  <c r="J67" i="18" s="1"/>
  <c r="L67" i="18" s="1"/>
  <c r="I106" i="18"/>
  <c r="J106" i="18" s="1"/>
  <c r="L106" i="18" s="1"/>
  <c r="I129" i="18"/>
  <c r="J129" i="18" s="1"/>
  <c r="L129" i="18" s="1"/>
  <c r="I49" i="18"/>
  <c r="J49" i="18" s="1"/>
  <c r="L49" i="18" s="1"/>
  <c r="I207" i="18"/>
  <c r="J207" i="18" s="1"/>
  <c r="L207" i="18" s="1"/>
  <c r="F14" i="29"/>
  <c r="I80" i="18"/>
  <c r="J80" i="18" s="1"/>
  <c r="L80" i="18" s="1"/>
  <c r="I195" i="18"/>
  <c r="J195" i="18" s="1"/>
  <c r="L195" i="18" s="1"/>
  <c r="I201" i="18"/>
  <c r="J201" i="18" s="1"/>
  <c r="L201" i="18" s="1"/>
  <c r="I26" i="18"/>
  <c r="J26" i="18" s="1"/>
  <c r="L26" i="18" s="1"/>
  <c r="I50" i="18"/>
  <c r="J50" i="18" s="1"/>
  <c r="L50" i="18" s="1"/>
  <c r="I42" i="18"/>
  <c r="J42" i="18" s="1"/>
  <c r="L42" i="18" s="1"/>
  <c r="I86" i="18"/>
  <c r="J86" i="18" s="1"/>
  <c r="L86" i="18" s="1"/>
  <c r="I160" i="18"/>
  <c r="J160" i="18" s="1"/>
  <c r="L160" i="18" s="1"/>
  <c r="I164" i="18"/>
  <c r="J164" i="18" s="1"/>
  <c r="L164" i="18" s="1"/>
  <c r="I90" i="18"/>
  <c r="J90" i="18" s="1"/>
  <c r="L90" i="18" s="1"/>
  <c r="I51" i="18"/>
  <c r="J51" i="18" s="1"/>
  <c r="L51" i="18" s="1"/>
  <c r="I77" i="18"/>
  <c r="J77" i="18" s="1"/>
  <c r="L77" i="18" s="1"/>
  <c r="I99" i="18"/>
  <c r="J99" i="18" s="1"/>
  <c r="L99" i="18" s="1"/>
  <c r="I145" i="18"/>
  <c r="J145" i="18" s="1"/>
  <c r="L145" i="18" s="1"/>
  <c r="I95" i="18"/>
  <c r="J95" i="18" s="1"/>
  <c r="L95" i="18" s="1"/>
  <c r="I187" i="18"/>
  <c r="J187" i="18" s="1"/>
  <c r="L187" i="18" s="1"/>
  <c r="I134" i="18"/>
  <c r="J134" i="18" s="1"/>
  <c r="L134" i="18" s="1"/>
  <c r="I122" i="18"/>
  <c r="J122" i="18" s="1"/>
  <c r="L122" i="18" s="1"/>
  <c r="I117" i="18"/>
  <c r="J117" i="18" s="1"/>
  <c r="L117" i="18" s="1"/>
  <c r="I119" i="18"/>
  <c r="J119" i="18" s="1"/>
  <c r="L119" i="18" s="1"/>
  <c r="I159" i="18"/>
  <c r="J159" i="18" s="1"/>
  <c r="L159" i="18" s="1"/>
  <c r="I101" i="18"/>
  <c r="J101" i="18" s="1"/>
  <c r="L101" i="18" s="1"/>
  <c r="I87" i="18"/>
  <c r="J87" i="18" s="1"/>
  <c r="L87" i="18" s="1"/>
  <c r="I148" i="18"/>
  <c r="J148" i="18" s="1"/>
  <c r="L148" i="18" s="1"/>
  <c r="I73" i="18"/>
  <c r="J73" i="18" s="1"/>
  <c r="L73" i="18" s="1"/>
  <c r="I203" i="18"/>
  <c r="J203" i="18" s="1"/>
  <c r="L203" i="18" s="1"/>
  <c r="I52" i="18"/>
  <c r="J52" i="18" s="1"/>
  <c r="L52" i="18" s="1"/>
  <c r="I40" i="18"/>
  <c r="J40" i="18" s="1"/>
  <c r="L40" i="18" s="1"/>
  <c r="I189" i="18"/>
  <c r="J189" i="18" s="1"/>
  <c r="L189" i="18" s="1"/>
  <c r="I139" i="18"/>
  <c r="J139" i="18" s="1"/>
  <c r="L139" i="18" s="1"/>
  <c r="I94" i="18"/>
  <c r="J94" i="18" s="1"/>
  <c r="L94" i="18" s="1"/>
  <c r="I152" i="18"/>
  <c r="J152" i="18" s="1"/>
  <c r="L152" i="18" s="1"/>
  <c r="I124" i="18"/>
  <c r="J124" i="18" s="1"/>
  <c r="L124" i="18" s="1"/>
  <c r="I66" i="18"/>
  <c r="J66" i="18" s="1"/>
  <c r="L66" i="18" s="1"/>
  <c r="I39" i="18"/>
  <c r="J39" i="18" s="1"/>
  <c r="L39" i="18" s="1"/>
  <c r="I33" i="18"/>
  <c r="J33" i="18" s="1"/>
  <c r="L33" i="18" s="1"/>
  <c r="I208" i="18"/>
  <c r="J208" i="18" s="1"/>
  <c r="L208" i="18" s="1"/>
  <c r="I71" i="18"/>
  <c r="J71" i="18" s="1"/>
  <c r="L71" i="18" s="1"/>
  <c r="I115" i="18"/>
  <c r="J115" i="18" s="1"/>
  <c r="L115" i="18" s="1"/>
  <c r="I113" i="18"/>
  <c r="J113" i="18" s="1"/>
  <c r="L113" i="18" s="1"/>
  <c r="I76" i="18"/>
  <c r="J76" i="18" s="1"/>
  <c r="L76" i="18" s="1"/>
  <c r="I121" i="18"/>
  <c r="J121" i="18" s="1"/>
  <c r="L121" i="18" s="1"/>
  <c r="I68" i="18"/>
  <c r="J68" i="18" s="1"/>
  <c r="L68" i="18" s="1"/>
  <c r="I78" i="18"/>
  <c r="J78" i="18" s="1"/>
  <c r="L78" i="18" s="1"/>
  <c r="I151" i="18"/>
  <c r="J151" i="18" s="1"/>
  <c r="L151" i="18" s="1"/>
  <c r="I112" i="18"/>
  <c r="J112" i="18" s="1"/>
  <c r="L112" i="18" s="1"/>
  <c r="I180" i="18"/>
  <c r="J180" i="18" s="1"/>
  <c r="L180" i="18" s="1"/>
  <c r="I20" i="18"/>
  <c r="J20" i="18" s="1"/>
  <c r="I156" i="18"/>
  <c r="J156" i="18" s="1"/>
  <c r="L156" i="18" s="1"/>
  <c r="I158" i="18"/>
  <c r="J158" i="18" s="1"/>
  <c r="L158" i="18" s="1"/>
  <c r="I32" i="18"/>
  <c r="J32" i="18" s="1"/>
  <c r="L32" i="18" s="1"/>
  <c r="I177" i="18"/>
  <c r="J177" i="18" s="1"/>
  <c r="L177" i="18" s="1"/>
  <c r="I190" i="18"/>
  <c r="J190" i="18" s="1"/>
  <c r="L190" i="18" s="1"/>
  <c r="I135" i="18"/>
  <c r="J135" i="18" s="1"/>
  <c r="L135" i="18" s="1"/>
  <c r="I130" i="18"/>
  <c r="J130" i="18" s="1"/>
  <c r="L130" i="18" s="1"/>
  <c r="I114" i="18"/>
  <c r="J114" i="18" s="1"/>
  <c r="L114" i="18" s="1"/>
  <c r="I155" i="18"/>
  <c r="J155" i="18" s="1"/>
  <c r="L155" i="18" s="1"/>
  <c r="I153" i="18"/>
  <c r="J153" i="18" s="1"/>
  <c r="L153" i="18" s="1"/>
  <c r="I45" i="18"/>
  <c r="J45" i="18" s="1"/>
  <c r="L45" i="18" s="1"/>
  <c r="I84" i="18"/>
  <c r="J84" i="18" s="1"/>
  <c r="L84" i="18" s="1"/>
  <c r="I105" i="18"/>
  <c r="J105" i="18" s="1"/>
  <c r="L105" i="18" s="1"/>
  <c r="I28" i="18"/>
  <c r="J28" i="18" s="1"/>
  <c r="L28" i="18" s="1"/>
  <c r="I81" i="18"/>
  <c r="J81" i="18" s="1"/>
  <c r="L81" i="18" s="1"/>
  <c r="I37" i="18"/>
  <c r="J37" i="18" s="1"/>
  <c r="L37" i="18" s="1"/>
  <c r="I154" i="18"/>
  <c r="J154" i="18" s="1"/>
  <c r="L154" i="18" s="1"/>
  <c r="I59" i="18"/>
  <c r="J59" i="18" s="1"/>
  <c r="L59" i="18" s="1"/>
  <c r="I175" i="18"/>
  <c r="J175" i="18" s="1"/>
  <c r="L175" i="18" s="1"/>
  <c r="I35" i="18"/>
  <c r="J35" i="18" s="1"/>
  <c r="L35" i="18" s="1"/>
  <c r="I44" i="18"/>
  <c r="J44" i="18" s="1"/>
  <c r="L44" i="18" s="1"/>
  <c r="I100" i="18"/>
  <c r="J100" i="18" s="1"/>
  <c r="L100" i="18" s="1"/>
  <c r="I70" i="18"/>
  <c r="J70" i="18" s="1"/>
  <c r="L70" i="18" s="1"/>
  <c r="I162" i="18"/>
  <c r="J162" i="18" s="1"/>
  <c r="L162" i="18" s="1"/>
  <c r="I107" i="18"/>
  <c r="J107" i="18" s="1"/>
  <c r="L107" i="18" s="1"/>
  <c r="I172" i="18"/>
  <c r="J172" i="18" s="1"/>
  <c r="L172" i="18" s="1"/>
  <c r="I46" i="18"/>
  <c r="J46" i="18" s="1"/>
  <c r="L46" i="18" s="1"/>
  <c r="I108" i="18"/>
  <c r="J108" i="18" s="1"/>
  <c r="L108" i="18" s="1"/>
  <c r="I186" i="18"/>
  <c r="J186" i="18" s="1"/>
  <c r="L186" i="18" s="1"/>
  <c r="I27" i="18"/>
  <c r="J27" i="18" s="1"/>
  <c r="L27" i="18" s="1"/>
  <c r="I120" i="18"/>
  <c r="J120" i="18" s="1"/>
  <c r="L120" i="18" s="1"/>
  <c r="I141" i="18"/>
  <c r="J141" i="18" s="1"/>
  <c r="L141" i="18" s="1"/>
  <c r="I163" i="18"/>
  <c r="J163" i="18" s="1"/>
  <c r="L163" i="18" s="1"/>
  <c r="I22" i="18"/>
  <c r="J22" i="18" s="1"/>
  <c r="L22" i="18" s="1"/>
  <c r="I127" i="18"/>
  <c r="J127" i="18" s="1"/>
  <c r="L127" i="18" s="1"/>
  <c r="I202" i="18"/>
  <c r="J202" i="18" s="1"/>
  <c r="L202" i="18" s="1"/>
  <c r="I74" i="18"/>
  <c r="J74" i="18" s="1"/>
  <c r="L74" i="18" s="1"/>
  <c r="I98" i="18"/>
  <c r="J98" i="18" s="1"/>
  <c r="L98" i="18" s="1"/>
  <c r="I140" i="18"/>
  <c r="J140" i="18" s="1"/>
  <c r="L140" i="18" s="1"/>
  <c r="I92" i="18"/>
  <c r="J92" i="18" s="1"/>
  <c r="L92" i="18" s="1"/>
  <c r="I211" i="18"/>
  <c r="J211" i="18" s="1"/>
  <c r="L211" i="18" s="1"/>
  <c r="I41" i="18"/>
  <c r="J41" i="18" s="1"/>
  <c r="L41" i="18" s="1"/>
  <c r="I62" i="18"/>
  <c r="J62" i="18" s="1"/>
  <c r="L62" i="18" s="1"/>
  <c r="I183" i="18"/>
  <c r="J183" i="18" s="1"/>
  <c r="L183" i="18" s="1"/>
  <c r="I110" i="18"/>
  <c r="J110" i="18" s="1"/>
  <c r="L110" i="18" s="1"/>
  <c r="I210" i="18"/>
  <c r="J210" i="18" s="1"/>
  <c r="L210" i="18" s="1"/>
  <c r="I184" i="18"/>
  <c r="J184" i="18" s="1"/>
  <c r="L184" i="18" s="1"/>
  <c r="I25" i="18"/>
  <c r="J25" i="18" s="1"/>
  <c r="L25" i="18" s="1"/>
  <c r="I79" i="18"/>
  <c r="J79" i="18" s="1"/>
  <c r="L79" i="18" s="1"/>
  <c r="I204" i="18"/>
  <c r="J204" i="18" s="1"/>
  <c r="L204" i="18" s="1"/>
  <c r="I82" i="18"/>
  <c r="J82" i="18" s="1"/>
  <c r="L82" i="18" s="1"/>
  <c r="I199" i="18"/>
  <c r="J199" i="18" s="1"/>
  <c r="L199" i="18" s="1"/>
  <c r="I181" i="18"/>
  <c r="J181" i="18" s="1"/>
  <c r="L181" i="18" s="1"/>
  <c r="I198" i="18"/>
  <c r="J198" i="18" s="1"/>
  <c r="L198" i="18" s="1"/>
  <c r="I131" i="18"/>
  <c r="J131" i="18" s="1"/>
  <c r="L131" i="18" s="1"/>
  <c r="I38" i="18"/>
  <c r="J38" i="18" s="1"/>
  <c r="L38" i="18" s="1"/>
  <c r="I34" i="18"/>
  <c r="J34" i="18" s="1"/>
  <c r="L34" i="18" s="1"/>
  <c r="I24" i="18"/>
  <c r="J24" i="18" s="1"/>
  <c r="L24" i="18" s="1"/>
  <c r="I88" i="18"/>
  <c r="J88" i="18" s="1"/>
  <c r="L88" i="18" s="1"/>
  <c r="I166" i="18"/>
  <c r="J166" i="18" s="1"/>
  <c r="L166" i="18" s="1"/>
  <c r="I196" i="18"/>
  <c r="J196" i="18" s="1"/>
  <c r="L196" i="18" s="1"/>
  <c r="I21" i="18"/>
  <c r="J21" i="18" s="1"/>
  <c r="L21" i="18" s="1"/>
  <c r="I168" i="18"/>
  <c r="J168" i="18" s="1"/>
  <c r="L168" i="18" s="1"/>
  <c r="I104" i="18"/>
  <c r="J104" i="18" s="1"/>
  <c r="L104" i="18" s="1"/>
  <c r="I97" i="18"/>
  <c r="J97" i="18" s="1"/>
  <c r="L97" i="18" s="1"/>
  <c r="I143" i="18"/>
  <c r="J143" i="18" s="1"/>
  <c r="L143" i="18" s="1"/>
  <c r="I125" i="18"/>
  <c r="J125" i="18" s="1"/>
  <c r="L125" i="18" s="1"/>
  <c r="I43" i="18"/>
  <c r="J43" i="18" s="1"/>
  <c r="L43" i="18" s="1"/>
  <c r="I96" i="18"/>
  <c r="J96" i="18" s="1"/>
  <c r="L96" i="18" s="1"/>
  <c r="I138" i="18"/>
  <c r="J138" i="18" s="1"/>
  <c r="L138" i="18" s="1"/>
  <c r="I194" i="18"/>
  <c r="J194" i="18" s="1"/>
  <c r="L194" i="18" s="1"/>
  <c r="I72" i="18"/>
  <c r="J72" i="18" s="1"/>
  <c r="L72" i="18" s="1"/>
  <c r="I205" i="18"/>
  <c r="J205" i="18" s="1"/>
  <c r="L205" i="18" s="1"/>
  <c r="I161" i="18"/>
  <c r="J161" i="18" s="1"/>
  <c r="L161" i="18" s="1"/>
  <c r="I54" i="18"/>
  <c r="J54" i="18" s="1"/>
  <c r="L54" i="18" s="1"/>
  <c r="I64" i="18"/>
  <c r="J64" i="18" s="1"/>
  <c r="L64" i="18" s="1"/>
  <c r="I31" i="18"/>
  <c r="J31" i="18" s="1"/>
  <c r="L31" i="18" s="1"/>
  <c r="I103" i="18"/>
  <c r="J103" i="18" s="1"/>
  <c r="L103" i="18" s="1"/>
  <c r="I111" i="18"/>
  <c r="J111" i="18" s="1"/>
  <c r="L111" i="18" s="1"/>
  <c r="I29" i="18"/>
  <c r="J29" i="18" s="1"/>
  <c r="L29" i="18" s="1"/>
  <c r="I93" i="18"/>
  <c r="J93" i="18" s="1"/>
  <c r="L93" i="18" s="1"/>
  <c r="I147" i="18"/>
  <c r="J147" i="18" s="1"/>
  <c r="L147" i="18" s="1"/>
  <c r="I23" i="18"/>
  <c r="J23" i="18" s="1"/>
  <c r="L23" i="18" s="1"/>
  <c r="I176" i="18"/>
  <c r="J176" i="18" s="1"/>
  <c r="L176" i="18" s="1"/>
  <c r="I193" i="18"/>
  <c r="J193" i="18" s="1"/>
  <c r="L193" i="18" s="1"/>
  <c r="I47" i="18"/>
  <c r="J47" i="18" s="1"/>
  <c r="L47" i="18" s="1"/>
  <c r="I65" i="18"/>
  <c r="J65" i="18" s="1"/>
  <c r="L65" i="18" s="1"/>
  <c r="I85" i="18"/>
  <c r="J85" i="18" s="1"/>
  <c r="L85" i="18" s="1"/>
  <c r="I89" i="18"/>
  <c r="J89" i="18" s="1"/>
  <c r="L89" i="18" s="1"/>
  <c r="I200" i="18"/>
  <c r="J200" i="18" s="1"/>
  <c r="L200" i="18" s="1"/>
  <c r="I60" i="18"/>
  <c r="J60" i="18" s="1"/>
  <c r="L60" i="18" s="1"/>
  <c r="I174" i="18"/>
  <c r="J174" i="18" s="1"/>
  <c r="L174" i="18" s="1"/>
  <c r="I118" i="18"/>
  <c r="J118" i="18" s="1"/>
  <c r="L118" i="18" s="1"/>
  <c r="I133" i="18"/>
  <c r="J133" i="18" s="1"/>
  <c r="L133" i="18" s="1"/>
  <c r="I149" i="18"/>
  <c r="J149" i="18" s="1"/>
  <c r="L149" i="18" s="1"/>
  <c r="I171" i="18"/>
  <c r="J171" i="18" s="1"/>
  <c r="L171" i="18" s="1"/>
  <c r="I116" i="18"/>
  <c r="J116" i="18" s="1"/>
  <c r="L116" i="18" s="1"/>
  <c r="I167" i="18"/>
  <c r="J167" i="18" s="1"/>
  <c r="L167" i="18" s="1"/>
  <c r="I48" i="18"/>
  <c r="J48" i="18" s="1"/>
  <c r="L48" i="18" s="1"/>
  <c r="I206" i="18"/>
  <c r="J206" i="18" s="1"/>
  <c r="L206" i="18" s="1"/>
  <c r="I36" i="18"/>
  <c r="J36" i="18" s="1"/>
  <c r="L36" i="18" s="1"/>
  <c r="I57" i="18"/>
  <c r="J57" i="18" s="1"/>
  <c r="L57" i="18" s="1"/>
  <c r="J13" i="18" l="1"/>
  <c r="L56" i="18"/>
  <c r="J212" i="18"/>
  <c r="J14" i="18"/>
  <c r="L20" i="18"/>
  <c r="L212" i="18" l="1"/>
  <c r="L14" i="18"/>
  <c r="L13" i="18"/>
  <c r="M202" i="18" l="1"/>
  <c r="N202" i="18" s="1"/>
  <c r="R202" i="18" s="1"/>
  <c r="M97" i="18"/>
  <c r="N97" i="18" s="1"/>
  <c r="R97" i="18" s="1"/>
  <c r="M28" i="18"/>
  <c r="N28" i="18" s="1"/>
  <c r="R28" i="18" s="1"/>
  <c r="M191" i="18"/>
  <c r="N191" i="18" s="1"/>
  <c r="R191" i="18" s="1"/>
  <c r="M88" i="18"/>
  <c r="N88" i="18" s="1"/>
  <c r="R88" i="18" s="1"/>
  <c r="M149" i="18"/>
  <c r="N149" i="18" s="1"/>
  <c r="R149" i="18" s="1"/>
  <c r="M174" i="18"/>
  <c r="N174" i="18" s="1"/>
  <c r="R174" i="18" s="1"/>
  <c r="M74" i="18"/>
  <c r="N74" i="18" s="1"/>
  <c r="R74" i="18" s="1"/>
  <c r="M163" i="18"/>
  <c r="N163" i="18" s="1"/>
  <c r="R163" i="18" s="1"/>
  <c r="M42" i="18"/>
  <c r="N42" i="18" s="1"/>
  <c r="R42" i="18" s="1"/>
  <c r="M143" i="18"/>
  <c r="N143" i="18" s="1"/>
  <c r="R143" i="18" s="1"/>
  <c r="M50" i="18"/>
  <c r="N50" i="18" s="1"/>
  <c r="R50" i="18" s="1"/>
  <c r="M148" i="18"/>
  <c r="N148" i="18" s="1"/>
  <c r="R148" i="18" s="1"/>
  <c r="M141" i="18"/>
  <c r="N141" i="18" s="1"/>
  <c r="R141" i="18" s="1"/>
  <c r="M98" i="18"/>
  <c r="N98" i="18" s="1"/>
  <c r="R98" i="18" s="1"/>
  <c r="M128" i="18"/>
  <c r="N128" i="18" s="1"/>
  <c r="R128" i="18" s="1"/>
  <c r="M76" i="18"/>
  <c r="N76" i="18" s="1"/>
  <c r="R76" i="18" s="1"/>
  <c r="M118" i="18"/>
  <c r="N118" i="18" s="1"/>
  <c r="R118" i="18" s="1"/>
  <c r="M107" i="18"/>
  <c r="N107" i="18" s="1"/>
  <c r="R107" i="18" s="1"/>
  <c r="M39" i="18"/>
  <c r="N39" i="18" s="1"/>
  <c r="R39" i="18" s="1"/>
  <c r="M158" i="18"/>
  <c r="N158" i="18" s="1"/>
  <c r="R158" i="18" s="1"/>
  <c r="M23" i="18"/>
  <c r="N23" i="18" s="1"/>
  <c r="R23" i="18" s="1"/>
  <c r="M44" i="18"/>
  <c r="N44" i="18" s="1"/>
  <c r="R44" i="18" s="1"/>
  <c r="M157" i="18"/>
  <c r="N157" i="18" s="1"/>
  <c r="R157" i="18" s="1"/>
  <c r="M150" i="18"/>
  <c r="N150" i="18" s="1"/>
  <c r="R150" i="18" s="1"/>
  <c r="M65" i="18"/>
  <c r="N65" i="18" s="1"/>
  <c r="R65" i="18" s="1"/>
  <c r="M153" i="18"/>
  <c r="N153" i="18" s="1"/>
  <c r="R153" i="18" s="1"/>
  <c r="M140" i="18"/>
  <c r="N140" i="18" s="1"/>
  <c r="R140" i="18" s="1"/>
  <c r="M198" i="18"/>
  <c r="N198" i="18" s="1"/>
  <c r="R198" i="18" s="1"/>
  <c r="M166" i="18"/>
  <c r="N166" i="18" s="1"/>
  <c r="R166" i="18" s="1"/>
  <c r="M130" i="18"/>
  <c r="N130" i="18" s="1"/>
  <c r="R130" i="18" s="1"/>
  <c r="M21" i="18"/>
  <c r="N21" i="18" s="1"/>
  <c r="R21" i="18" s="1"/>
  <c r="M56" i="18"/>
  <c r="M164" i="18"/>
  <c r="N164" i="18" s="1"/>
  <c r="R164" i="18" s="1"/>
  <c r="M63" i="18"/>
  <c r="N63" i="18" s="1"/>
  <c r="R63" i="18" s="1"/>
  <c r="M70" i="18"/>
  <c r="N70" i="18" s="1"/>
  <c r="R70" i="18" s="1"/>
  <c r="M52" i="18"/>
  <c r="N52" i="18" s="1"/>
  <c r="R52" i="18" s="1"/>
  <c r="M129" i="18"/>
  <c r="N129" i="18" s="1"/>
  <c r="R129" i="18" s="1"/>
  <c r="M122" i="18"/>
  <c r="N122" i="18" s="1"/>
  <c r="R122" i="18" s="1"/>
  <c r="M188" i="18"/>
  <c r="N188" i="18" s="1"/>
  <c r="R188" i="18" s="1"/>
  <c r="M69" i="18"/>
  <c r="N69" i="18" s="1"/>
  <c r="R69" i="18" s="1"/>
  <c r="M182" i="18"/>
  <c r="N182" i="18" s="1"/>
  <c r="R182" i="18" s="1"/>
  <c r="M165" i="18"/>
  <c r="N165" i="18" s="1"/>
  <c r="R165" i="18" s="1"/>
  <c r="M208" i="18"/>
  <c r="N208" i="18" s="1"/>
  <c r="R208" i="18" s="1"/>
  <c r="M121" i="18"/>
  <c r="N121" i="18" s="1"/>
  <c r="R121" i="18" s="1"/>
  <c r="M146" i="18"/>
  <c r="N146" i="18" s="1"/>
  <c r="R146" i="18" s="1"/>
  <c r="M106" i="18"/>
  <c r="N106" i="18" s="1"/>
  <c r="R106" i="18" s="1"/>
  <c r="M73" i="18"/>
  <c r="N73" i="18" s="1"/>
  <c r="R73" i="18" s="1"/>
  <c r="M189" i="18"/>
  <c r="N189" i="18" s="1"/>
  <c r="R189" i="18" s="1"/>
  <c r="M178" i="18"/>
  <c r="N178" i="18" s="1"/>
  <c r="R178" i="18" s="1"/>
  <c r="M83" i="18"/>
  <c r="N83" i="18" s="1"/>
  <c r="R83" i="18" s="1"/>
  <c r="M131" i="18"/>
  <c r="N131" i="18" s="1"/>
  <c r="R131" i="18" s="1"/>
  <c r="M30" i="18"/>
  <c r="N30" i="18" s="1"/>
  <c r="R30" i="18" s="1"/>
  <c r="M109" i="18"/>
  <c r="N109" i="18" s="1"/>
  <c r="R109" i="18" s="1"/>
  <c r="M77" i="18"/>
  <c r="N77" i="18" s="1"/>
  <c r="R77" i="18" s="1"/>
  <c r="M168" i="18"/>
  <c r="N168" i="18" s="1"/>
  <c r="R168" i="18" s="1"/>
  <c r="M36" i="18"/>
  <c r="N36" i="18" s="1"/>
  <c r="R36" i="18" s="1"/>
  <c r="M27" i="18"/>
  <c r="N27" i="18" s="1"/>
  <c r="R27" i="18" s="1"/>
  <c r="M172" i="18"/>
  <c r="N172" i="18" s="1"/>
  <c r="R172" i="18" s="1"/>
  <c r="M200" i="18"/>
  <c r="N200" i="18" s="1"/>
  <c r="R200" i="18" s="1"/>
  <c r="M104" i="18"/>
  <c r="N104" i="18" s="1"/>
  <c r="R104" i="18" s="1"/>
  <c r="M71" i="18"/>
  <c r="N71" i="18" s="1"/>
  <c r="R71" i="18" s="1"/>
  <c r="M167" i="18"/>
  <c r="N167" i="18" s="1"/>
  <c r="R167" i="18" s="1"/>
  <c r="M86" i="18"/>
  <c r="N86" i="18" s="1"/>
  <c r="R86" i="18" s="1"/>
  <c r="M67" i="18"/>
  <c r="N67" i="18" s="1"/>
  <c r="R67" i="18" s="1"/>
  <c r="M119" i="18"/>
  <c r="N119" i="18" s="1"/>
  <c r="R119" i="18" s="1"/>
  <c r="M102" i="18"/>
  <c r="N102" i="18" s="1"/>
  <c r="R102" i="18" s="1"/>
  <c r="M37" i="18"/>
  <c r="N37" i="18" s="1"/>
  <c r="R37" i="18" s="1"/>
  <c r="M93" i="18"/>
  <c r="N93" i="18" s="1"/>
  <c r="R93" i="18" s="1"/>
  <c r="M61" i="18"/>
  <c r="N61" i="18" s="1"/>
  <c r="R61" i="18" s="1"/>
  <c r="M40" i="18"/>
  <c r="N40" i="18" s="1"/>
  <c r="R40" i="18" s="1"/>
  <c r="M180" i="18"/>
  <c r="N180" i="18" s="1"/>
  <c r="R180" i="18" s="1"/>
  <c r="M38" i="18"/>
  <c r="N38" i="18" s="1"/>
  <c r="R38" i="18" s="1"/>
  <c r="M79" i="18"/>
  <c r="N79" i="18" s="1"/>
  <c r="R79" i="18" s="1"/>
  <c r="M108" i="18"/>
  <c r="N108" i="18" s="1"/>
  <c r="R108" i="18" s="1"/>
  <c r="M127" i="18"/>
  <c r="N127" i="18" s="1"/>
  <c r="R127" i="18" s="1"/>
  <c r="M90" i="18"/>
  <c r="N90" i="18" s="1"/>
  <c r="R90" i="18" s="1"/>
  <c r="M138" i="18"/>
  <c r="N138" i="18" s="1"/>
  <c r="R138" i="18" s="1"/>
  <c r="M26" i="18"/>
  <c r="N26" i="18" s="1"/>
  <c r="R26" i="18" s="1"/>
  <c r="M142" i="18"/>
  <c r="N142" i="18" s="1"/>
  <c r="R142" i="18" s="1"/>
  <c r="M62" i="18"/>
  <c r="N62" i="18" s="1"/>
  <c r="R62" i="18" s="1"/>
  <c r="M160" i="18"/>
  <c r="N160" i="18" s="1"/>
  <c r="R160" i="18" s="1"/>
  <c r="M53" i="18"/>
  <c r="N53" i="18" s="1"/>
  <c r="R53" i="18" s="1"/>
  <c r="M175" i="18"/>
  <c r="N175" i="18" s="1"/>
  <c r="R175" i="18" s="1"/>
  <c r="M75" i="18"/>
  <c r="N75" i="18" s="1"/>
  <c r="R75" i="18" s="1"/>
  <c r="M169" i="18"/>
  <c r="N169" i="18" s="1"/>
  <c r="R169" i="18" s="1"/>
  <c r="M161" i="18"/>
  <c r="N161" i="18" s="1"/>
  <c r="R161" i="18" s="1"/>
  <c r="M199" i="18"/>
  <c r="N199" i="18" s="1"/>
  <c r="R199" i="18" s="1"/>
  <c r="M64" i="18"/>
  <c r="N64" i="18" s="1"/>
  <c r="R64" i="18" s="1"/>
  <c r="M89" i="18"/>
  <c r="N89" i="18" s="1"/>
  <c r="R89" i="18" s="1"/>
  <c r="M192" i="18"/>
  <c r="N192" i="18" s="1"/>
  <c r="R192" i="18" s="1"/>
  <c r="M25" i="18"/>
  <c r="N25" i="18" s="1"/>
  <c r="R25" i="18" s="1"/>
  <c r="M58" i="18"/>
  <c r="N58" i="18" s="1"/>
  <c r="R58" i="18" s="1"/>
  <c r="M45" i="18"/>
  <c r="N45" i="18" s="1"/>
  <c r="R45" i="18" s="1"/>
  <c r="M210" i="18"/>
  <c r="N210" i="18" s="1"/>
  <c r="R210" i="18" s="1"/>
  <c r="M113" i="18"/>
  <c r="N113" i="18" s="1"/>
  <c r="R113" i="18" s="1"/>
  <c r="M41" i="18"/>
  <c r="N41" i="18" s="1"/>
  <c r="R41" i="18" s="1"/>
  <c r="M47" i="18"/>
  <c r="N47" i="18" s="1"/>
  <c r="R47" i="18" s="1"/>
  <c r="M66" i="18"/>
  <c r="N66" i="18" s="1"/>
  <c r="R66" i="18" s="1"/>
  <c r="M159" i="18"/>
  <c r="N159" i="18" s="1"/>
  <c r="R159" i="18" s="1"/>
  <c r="M170" i="18"/>
  <c r="N170" i="18" s="1"/>
  <c r="R170" i="18" s="1"/>
  <c r="M144" i="18"/>
  <c r="N144" i="18" s="1"/>
  <c r="R144" i="18" s="1"/>
  <c r="M32" i="18"/>
  <c r="N32" i="18" s="1"/>
  <c r="R32" i="18" s="1"/>
  <c r="M134" i="18"/>
  <c r="N134" i="18" s="1"/>
  <c r="R134" i="18" s="1"/>
  <c r="M184" i="18"/>
  <c r="N184" i="18" s="1"/>
  <c r="R184" i="18" s="1"/>
  <c r="M101" i="18"/>
  <c r="N101" i="18" s="1"/>
  <c r="R101" i="18" s="1"/>
  <c r="M22" i="18"/>
  <c r="N22" i="18" s="1"/>
  <c r="R22" i="18" s="1"/>
  <c r="M20" i="18"/>
  <c r="M120" i="18"/>
  <c r="N120" i="18" s="1"/>
  <c r="R120" i="18" s="1"/>
  <c r="M204" i="18"/>
  <c r="N204" i="18" s="1"/>
  <c r="R204" i="18" s="1"/>
  <c r="M48" i="18"/>
  <c r="N48" i="18" s="1"/>
  <c r="R48" i="18" s="1"/>
  <c r="M193" i="18"/>
  <c r="N193" i="18" s="1"/>
  <c r="R193" i="18" s="1"/>
  <c r="M92" i="18"/>
  <c r="N92" i="18" s="1"/>
  <c r="R92" i="18" s="1"/>
  <c r="M84" i="18"/>
  <c r="N84" i="18" s="1"/>
  <c r="R84" i="18" s="1"/>
  <c r="M123" i="18"/>
  <c r="N123" i="18" s="1"/>
  <c r="R123" i="18" s="1"/>
  <c r="M115" i="18"/>
  <c r="N115" i="18" s="1"/>
  <c r="R115" i="18" s="1"/>
  <c r="M43" i="18"/>
  <c r="N43" i="18" s="1"/>
  <c r="R43" i="18" s="1"/>
  <c r="M197" i="18"/>
  <c r="N197" i="18" s="1"/>
  <c r="R197" i="18" s="1"/>
  <c r="M116" i="18"/>
  <c r="N116" i="18" s="1"/>
  <c r="R116" i="18" s="1"/>
  <c r="M29" i="18"/>
  <c r="N29" i="18" s="1"/>
  <c r="R29" i="18" s="1"/>
  <c r="M152" i="18"/>
  <c r="N152" i="18" s="1"/>
  <c r="R152" i="18" s="1"/>
  <c r="M46" i="18"/>
  <c r="N46" i="18" s="1"/>
  <c r="R46" i="18" s="1"/>
  <c r="M78" i="18"/>
  <c r="N78" i="18" s="1"/>
  <c r="R78" i="18" s="1"/>
  <c r="M201" i="18"/>
  <c r="N201" i="18" s="1"/>
  <c r="R201" i="18" s="1"/>
  <c r="M136" i="18"/>
  <c r="N136" i="18" s="1"/>
  <c r="R136" i="18" s="1"/>
  <c r="M99" i="18"/>
  <c r="N99" i="18" s="1"/>
  <c r="R99" i="18" s="1"/>
  <c r="M155" i="18"/>
  <c r="N155" i="18" s="1"/>
  <c r="R155" i="18" s="1"/>
  <c r="M194" i="18"/>
  <c r="N194" i="18" s="1"/>
  <c r="R194" i="18" s="1"/>
  <c r="M100" i="18"/>
  <c r="N100" i="18" s="1"/>
  <c r="R100" i="18" s="1"/>
  <c r="M51" i="18"/>
  <c r="N51" i="18" s="1"/>
  <c r="R51" i="18" s="1"/>
  <c r="M151" i="18"/>
  <c r="N151" i="18" s="1"/>
  <c r="R151" i="18" s="1"/>
  <c r="M54" i="18"/>
  <c r="N54" i="18" s="1"/>
  <c r="R54" i="18" s="1"/>
  <c r="M211" i="18"/>
  <c r="N211" i="18" s="1"/>
  <c r="R211" i="18" s="1"/>
  <c r="M33" i="18"/>
  <c r="N33" i="18" s="1"/>
  <c r="R33" i="18" s="1"/>
  <c r="M162" i="18"/>
  <c r="N162" i="18" s="1"/>
  <c r="R162" i="18" s="1"/>
  <c r="M91" i="18"/>
  <c r="N91" i="18" s="1"/>
  <c r="R91" i="18" s="1"/>
  <c r="M55" i="18"/>
  <c r="N55" i="18" s="1"/>
  <c r="R55" i="18" s="1"/>
  <c r="M135" i="18"/>
  <c r="N135" i="18" s="1"/>
  <c r="R135" i="18" s="1"/>
  <c r="M133" i="18"/>
  <c r="N133" i="18" s="1"/>
  <c r="R133" i="18" s="1"/>
  <c r="M105" i="18"/>
  <c r="N105" i="18" s="1"/>
  <c r="R105" i="18" s="1"/>
  <c r="M31" i="18"/>
  <c r="N31" i="18" s="1"/>
  <c r="R31" i="18" s="1"/>
  <c r="M103" i="18"/>
  <c r="N103" i="18" s="1"/>
  <c r="R103" i="18" s="1"/>
  <c r="M60" i="18"/>
  <c r="N60" i="18" s="1"/>
  <c r="R60" i="18" s="1"/>
  <c r="M112" i="18"/>
  <c r="N112" i="18" s="1"/>
  <c r="R112" i="18" s="1"/>
  <c r="M195" i="18"/>
  <c r="N195" i="18" s="1"/>
  <c r="R195" i="18" s="1"/>
  <c r="M111" i="18"/>
  <c r="N111" i="18" s="1"/>
  <c r="R111" i="18" s="1"/>
  <c r="M85" i="18"/>
  <c r="N85" i="18" s="1"/>
  <c r="R85" i="18" s="1"/>
  <c r="M49" i="18"/>
  <c r="N49" i="18" s="1"/>
  <c r="R49" i="18" s="1"/>
  <c r="M177" i="18"/>
  <c r="N177" i="18" s="1"/>
  <c r="R177" i="18" s="1"/>
  <c r="M154" i="18"/>
  <c r="N154" i="18" s="1"/>
  <c r="R154" i="18" s="1"/>
  <c r="M82" i="18"/>
  <c r="N82" i="18" s="1"/>
  <c r="R82" i="18" s="1"/>
  <c r="M72" i="18"/>
  <c r="N72" i="18" s="1"/>
  <c r="R72" i="18" s="1"/>
  <c r="M203" i="18"/>
  <c r="N203" i="18" s="1"/>
  <c r="R203" i="18" s="1"/>
  <c r="M156" i="18"/>
  <c r="N156" i="18" s="1"/>
  <c r="R156" i="18" s="1"/>
  <c r="M147" i="18"/>
  <c r="N147" i="18" s="1"/>
  <c r="R147" i="18" s="1"/>
  <c r="M173" i="18"/>
  <c r="N173" i="18" s="1"/>
  <c r="R173" i="18" s="1"/>
  <c r="M114" i="18"/>
  <c r="N114" i="18" s="1"/>
  <c r="R114" i="18" s="1"/>
  <c r="M181" i="18"/>
  <c r="N181" i="18" s="1"/>
  <c r="R181" i="18" s="1"/>
  <c r="M176" i="18"/>
  <c r="N176" i="18" s="1"/>
  <c r="R176" i="18" s="1"/>
  <c r="M126" i="18"/>
  <c r="N126" i="18" s="1"/>
  <c r="R126" i="18" s="1"/>
  <c r="M185" i="18"/>
  <c r="N185" i="18" s="1"/>
  <c r="R185" i="18" s="1"/>
  <c r="M94" i="18"/>
  <c r="N94" i="18" s="1"/>
  <c r="R94" i="18" s="1"/>
  <c r="M125" i="18"/>
  <c r="N125" i="18" s="1"/>
  <c r="R125" i="18" s="1"/>
  <c r="M139" i="18"/>
  <c r="N139" i="18" s="1"/>
  <c r="R139" i="18" s="1"/>
  <c r="M183" i="18"/>
  <c r="N183" i="18" s="1"/>
  <c r="R183" i="18" s="1"/>
  <c r="M179" i="18"/>
  <c r="N179" i="18" s="1"/>
  <c r="R179" i="18" s="1"/>
  <c r="M117" i="18"/>
  <c r="N117" i="18" s="1"/>
  <c r="R117" i="18" s="1"/>
  <c r="M87" i="18"/>
  <c r="N87" i="18" s="1"/>
  <c r="R87" i="18" s="1"/>
  <c r="M35" i="18"/>
  <c r="N35" i="18" s="1"/>
  <c r="R35" i="18" s="1"/>
  <c r="M207" i="18"/>
  <c r="N207" i="18" s="1"/>
  <c r="R207" i="18" s="1"/>
  <c r="M24" i="18"/>
  <c r="N24" i="18" s="1"/>
  <c r="R24" i="18" s="1"/>
  <c r="M57" i="18"/>
  <c r="N57" i="18" s="1"/>
  <c r="R57" i="18" s="1"/>
  <c r="M145" i="18"/>
  <c r="N145" i="18" s="1"/>
  <c r="R145" i="18" s="1"/>
  <c r="M186" i="18"/>
  <c r="N186" i="18" s="1"/>
  <c r="R186" i="18" s="1"/>
  <c r="M59" i="18"/>
  <c r="N59" i="18" s="1"/>
  <c r="R59" i="18" s="1"/>
  <c r="M209" i="18"/>
  <c r="N209" i="18" s="1"/>
  <c r="R209" i="18" s="1"/>
  <c r="M132" i="18"/>
  <c r="N132" i="18" s="1"/>
  <c r="R132" i="18" s="1"/>
  <c r="M81" i="18"/>
  <c r="N81" i="18" s="1"/>
  <c r="R81" i="18" s="1"/>
  <c r="M187" i="18"/>
  <c r="N187" i="18" s="1"/>
  <c r="R187" i="18" s="1"/>
  <c r="M190" i="18"/>
  <c r="N190" i="18" s="1"/>
  <c r="R190" i="18" s="1"/>
  <c r="M68" i="18"/>
  <c r="N68" i="18" s="1"/>
  <c r="R68" i="18" s="1"/>
  <c r="M171" i="18"/>
  <c r="N171" i="18" s="1"/>
  <c r="R171" i="18" s="1"/>
  <c r="M34" i="18"/>
  <c r="N34" i="18" s="1"/>
  <c r="R34" i="18" s="1"/>
  <c r="M80" i="18"/>
  <c r="N80" i="18" s="1"/>
  <c r="R80" i="18" s="1"/>
  <c r="M137" i="18"/>
  <c r="N137" i="18" s="1"/>
  <c r="R137" i="18" s="1"/>
  <c r="M206" i="18"/>
  <c r="N206" i="18" s="1"/>
  <c r="R206" i="18" s="1"/>
  <c r="M96" i="18"/>
  <c r="N96" i="18" s="1"/>
  <c r="R96" i="18" s="1"/>
  <c r="M205" i="18"/>
  <c r="N205" i="18" s="1"/>
  <c r="R205" i="18" s="1"/>
  <c r="M196" i="18"/>
  <c r="N196" i="18" s="1"/>
  <c r="R196" i="18" s="1"/>
  <c r="M95" i="18"/>
  <c r="N95" i="18" s="1"/>
  <c r="R95" i="18" s="1"/>
  <c r="M124" i="18"/>
  <c r="N124" i="18" s="1"/>
  <c r="R124" i="18" s="1"/>
  <c r="M110" i="18"/>
  <c r="N110" i="18" s="1"/>
  <c r="R110" i="18" s="1"/>
  <c r="M212" i="18" l="1"/>
  <c r="N20" i="18"/>
  <c r="M13" i="18"/>
  <c r="N56" i="18"/>
  <c r="R20" i="18" l="1"/>
  <c r="N14" i="18"/>
  <c r="N13" i="18"/>
  <c r="R56" i="18"/>
  <c r="R13" i="18" s="1"/>
  <c r="R212" i="18" l="1"/>
  <c r="R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<sst xmlns="http://schemas.openxmlformats.org/spreadsheetml/2006/main" count="421" uniqueCount="105">
  <si>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</si>
  <si>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</si>
  <si>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</si>
  <si>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</si>
  <si>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</si>
  <si>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</si>
  <si>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</si>
  <si>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</si>
  <si>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</si>
  <si>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</si>
  <si>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</si>
  <si>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</si>
  <si>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</si>
  <si>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</si>
  <si>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</si>
  <si>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</si>
  <si>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</si>
  <si>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</si>
  <si>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</si>
  <si>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</si>
  <si>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</si>
  <si>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</si>
  <si>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</si>
  <si>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</si>
  <si>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</si>
  <si>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</si>
  <si>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</si>
  <si>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</si>
  <si>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</si>
  <si>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</si>
  <si>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</si>
  <si>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</si>
  <si>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</si>
  <si>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</si>
  <si>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</si>
  <si>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</si>
  <si>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</si>
  <si>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</si>
  <si>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</si>
  <si>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</si>
  <si>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</si>
  <si>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</si>
  <si>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</si>
  <si>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</si>
  <si>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</si>
  <si>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</si>
  <si>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</si>
  <si>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</si>
  <si>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</si>
  <si>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</si>
  <si>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</si>
  <si>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</si>
  <si>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</si>
  <si>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</si>
  <si>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</si>
  <si>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</si>
  <si>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</si>
  <si>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</si>
  <si>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</si>
  <si>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</si>
  <si>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</si>
  <si>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</si>
  <si>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</si>
  <si>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</si>
  <si>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</si>
  <si>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</si>
  <si>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</si>
  <si>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</si>
  <si>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</si>
  <si>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</si>
  <si>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</si>
  <si>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</si>
  <si>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</si>
  <si>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</si>
  <si>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</si>
  <si>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</si>
  <si>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</si>
  <si>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</si>
  <si>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</si>
  <si>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</si>
  <si>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</si>
  <si>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</si>
  <si>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</si>
  <si>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</si>
  <si>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</si>
  <si>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</si>
  <si>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</si>
  <si>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</si>
  <si>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</si>
  <si>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</si>
  <si>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</si>
  <si>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</si>
  <si>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</si>
  <si>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</si>
  <si>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PUBLIC SERVICE COMPANY of OKLAHOMA &amp; SOUTHWESTERN ELECTRIC POWER</t>
  </si>
  <si>
    <t>(H)</t>
  </si>
  <si>
    <t xml:space="preserve"> (I) = (G) + (H)</t>
  </si>
  <si>
    <t>Total NITS Surcharge / Refun</t>
  </si>
  <si>
    <t>AEPTCo Formula Rate -- FERC Docket ER18-195</t>
  </si>
  <si>
    <t>2020 True Up Including Interest</t>
  </si>
  <si>
    <t>2019 Tax True Up</t>
  </si>
  <si>
    <t>2017 ROE Refund</t>
  </si>
  <si>
    <r>
      <t>2021 True-Up
(</t>
    </r>
    <r>
      <rPr>
        <sz val="10"/>
        <rFont val="Arial"/>
        <family val="2"/>
      </rPr>
      <t>w/o Interest)</t>
    </r>
  </si>
  <si>
    <t>2021 Interest</t>
  </si>
  <si>
    <t>Total 2021
True-Up Surcharge / (Refund)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</si>
</sst>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4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2" fillId="0" borderId="0" xfId="0" quotePrefix="1" applyNumberFormat="1" applyFont="1" applyProtection="1"/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7" xfId="2" applyNumberFormat="1" applyFont="1" applyBorder="1" applyProtection="1"/>
    <xf numFmtId="165" fontId="0" fillId="0" borderId="18" xfId="2" applyNumberFormat="1" applyFont="1" applyBorder="1" applyProtection="1"/>
    <xf numFmtId="165" fontId="0" fillId="0" borderId="19" xfId="2" applyNumberFormat="1" applyFont="1" applyBorder="1" applyProtection="1"/>
    <xf numFmtId="165" fontId="0" fillId="0" borderId="11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0" xfId="0" applyBorder="1" applyProtection="1"/>
    <xf numFmtId="0" fontId="9" fillId="3" borderId="21" xfId="0" quotePrefix="1" applyFont="1" applyFill="1" applyBorder="1" applyAlignment="1" applyProtection="1">
      <alignment horizontal="left" vertical="center" wrapText="1"/>
    </xf>
    <xf numFmtId="165" fontId="0" fillId="3" borderId="22" xfId="2" applyNumberFormat="1" applyFont="1" applyFill="1" applyBorder="1" applyAlignment="1" applyProtection="1">
      <alignment vertical="center"/>
    </xf>
    <xf numFmtId="165" fontId="0" fillId="3" borderId="23" xfId="2" applyNumberFormat="1" applyFont="1" applyFill="1" applyBorder="1" applyAlignment="1" applyProtection="1">
      <alignment vertical="center"/>
    </xf>
    <xf numFmtId="165" fontId="3" fillId="3" borderId="24" xfId="2" applyNumberFormat="1" applyFont="1" applyFill="1" applyBorder="1" applyAlignment="1" applyProtection="1">
      <alignment vertical="center"/>
    </xf>
    <xf numFmtId="165" fontId="3" fillId="3" borderId="25" xfId="2" applyNumberFormat="1" applyFont="1" applyFill="1" applyBorder="1" applyAlignment="1" applyProtection="1">
      <alignment vertical="center"/>
    </xf>
    <xf numFmtId="165" fontId="3" fillId="3" borderId="26" xfId="2" applyNumberFormat="1" applyFont="1" applyFill="1" applyBorder="1" applyAlignment="1" applyProtection="1">
      <alignment vertical="center"/>
    </xf>
    <xf numFmtId="0" fontId="0" fillId="0" borderId="27" xfId="0" quotePrefix="1" applyBorder="1" applyAlignment="1" applyProtection="1">
      <alignment horizontal="left"/>
    </xf>
    <xf numFmtId="0" fontId="0" fillId="0" borderId="19" xfId="0" applyBorder="1" applyProtection="1"/>
    <xf numFmtId="0" fontId="0" fillId="0" borderId="28" xfId="0" applyBorder="1" applyProtection="1"/>
    <xf numFmtId="0" fontId="9" fillId="0" borderId="21" xfId="0" quotePrefix="1" applyFont="1" applyFill="1" applyBorder="1" applyAlignment="1" applyProtection="1">
      <alignment horizontal="left" vertical="center" wrapText="1"/>
    </xf>
    <xf numFmtId="165" fontId="0" fillId="0" borderId="22" xfId="2" applyNumberFormat="1" applyFont="1" applyFill="1" applyBorder="1" applyAlignment="1" applyProtection="1">
      <alignment vertical="center"/>
    </xf>
    <xf numFmtId="165" fontId="0" fillId="0" borderId="23" xfId="2" applyNumberFormat="1" applyFont="1" applyFill="1" applyBorder="1" applyAlignment="1" applyProtection="1">
      <alignment vertical="center"/>
    </xf>
    <xf numFmtId="165" fontId="3" fillId="0" borderId="24" xfId="2" applyNumberFormat="1" applyFont="1" applyFill="1" applyBorder="1" applyAlignment="1" applyProtection="1">
      <alignment vertical="center"/>
    </xf>
    <xf numFmtId="165" fontId="3" fillId="0" borderId="25" xfId="2" applyNumberFormat="1" applyFont="1" applyFill="1" applyBorder="1" applyAlignment="1" applyProtection="1">
      <alignment vertical="center"/>
    </xf>
    <xf numFmtId="165" fontId="3" fillId="0" borderId="26" xfId="2" applyNumberFormat="1" applyFont="1" applyFill="1" applyBorder="1" applyAlignment="1" applyProtection="1">
      <alignment vertical="center"/>
    </xf>
    <xf numFmtId="166" fontId="0" fillId="0" borderId="0" xfId="1" applyNumberFormat="1" applyFont="1" applyProtection="1"/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9" xfId="2" applyNumberFormat="1" applyFont="1" applyBorder="1" applyAlignment="1" applyProtection="1">
      <alignment vertical="center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5" fontId="0" fillId="0" borderId="32" xfId="2" applyNumberFormat="1" applyFont="1" applyBorder="1" applyAlignment="1" applyProtection="1">
      <alignment vertical="center"/>
    </xf>
    <xf numFmtId="165" fontId="0" fillId="0" borderId="33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0" fillId="0" borderId="38" xfId="0" applyBorder="1" applyProtection="1"/>
    <xf numFmtId="0" fontId="0" fillId="0" borderId="39" xfId="0" applyBorder="1" applyProtection="1"/>
    <xf numFmtId="0" fontId="0" fillId="0" borderId="38" xfId="0" pivotButton="1" applyBorder="1" applyProtection="1"/>
    <xf numFmtId="0" fontId="0" fillId="0" borderId="40" xfId="0" applyBorder="1" applyProtection="1"/>
    <xf numFmtId="17" fontId="0" fillId="0" borderId="38" xfId="0" applyNumberFormat="1" applyBorder="1" applyProtection="1"/>
    <xf numFmtId="17" fontId="0" fillId="0" borderId="41" xfId="0" applyNumberFormat="1" applyBorder="1" applyProtection="1"/>
    <xf numFmtId="17" fontId="0" fillId="0" borderId="42" xfId="0" applyNumberFormat="1" applyBorder="1" applyProtection="1"/>
    <xf numFmtId="166" fontId="0" fillId="0" borderId="38" xfId="0" applyNumberFormat="1" applyBorder="1" applyProtection="1"/>
    <xf numFmtId="166" fontId="0" fillId="0" borderId="41" xfId="0" applyNumberFormat="1" applyBorder="1" applyProtection="1"/>
    <xf numFmtId="166" fontId="0" fillId="0" borderId="42" xfId="0" applyNumberFormat="1" applyBorder="1" applyProtection="1"/>
    <xf numFmtId="0" fontId="0" fillId="0" borderId="43" xfId="0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0" fillId="0" borderId="45" xfId="0" applyBorder="1" applyProtection="1"/>
    <xf numFmtId="166" fontId="0" fillId="0" borderId="45" xfId="0" applyNumberFormat="1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6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4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4" xfId="0" quotePrefix="1" applyBorder="1" applyAlignment="1" applyProtection="1">
      <alignment horizontal="right"/>
    </xf>
    <xf numFmtId="0" fontId="0" fillId="0" borderId="23" xfId="0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center"/>
    </xf>
    <xf numFmtId="167" fontId="0" fillId="4" borderId="25" xfId="0" applyNumberFormat="1" applyFill="1" applyBorder="1" applyAlignment="1" applyProtection="1">
      <alignment horizontal="center"/>
    </xf>
    <xf numFmtId="167" fontId="0" fillId="0" borderId="35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8" xfId="0" applyNumberFormat="1" applyFont="1" applyBorder="1" applyAlignment="1" applyProtection="1">
      <alignment horizontal="right"/>
    </xf>
    <xf numFmtId="14" fontId="1" fillId="0" borderId="17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4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4" xfId="0" applyNumberFormat="1" applyFont="1" applyBorder="1" applyAlignment="1" applyProtection="1">
      <alignment horizontal="center"/>
    </xf>
    <xf numFmtId="14" fontId="0" fillId="0" borderId="17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4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6" xfId="0" quotePrefix="1" applyFont="1" applyBorder="1" applyAlignment="1" applyProtection="1">
      <alignment horizontal="center"/>
    </xf>
    <xf numFmtId="164" fontId="4" fillId="0" borderId="22" xfId="0" quotePrefix="1" applyNumberFormat="1" applyFont="1" applyBorder="1" applyAlignment="1" applyProtection="1">
      <alignment horizontal="center" vertical="center" wrapText="1"/>
    </xf>
    <xf numFmtId="0" fontId="4" fillId="0" borderId="23" xfId="0" quotePrefix="1" applyFont="1" applyBorder="1" applyAlignment="1" applyProtection="1">
      <alignment horizontal="center" vertical="center" wrapText="1"/>
    </xf>
    <xf numFmtId="164" fontId="4" fillId="5" borderId="23" xfId="0" quotePrefix="1" applyNumberFormat="1" applyFont="1" applyFill="1" applyBorder="1" applyAlignment="1" applyProtection="1">
      <alignment horizontal="center" vertical="center" wrapText="1"/>
    </xf>
    <xf numFmtId="164" fontId="4" fillId="0" borderId="23" xfId="0" applyNumberFormat="1" applyFont="1" applyBorder="1" applyAlignment="1" applyProtection="1">
      <alignment horizontal="center" vertical="center" wrapText="1"/>
    </xf>
    <xf numFmtId="164" fontId="4" fillId="0" borderId="35" xfId="0" applyNumberFormat="1" applyFont="1" applyBorder="1" applyAlignment="1" applyProtection="1">
      <alignment horizontal="center" vertical="center" wrapText="1"/>
    </xf>
    <xf numFmtId="164" fontId="4" fillId="0" borderId="36" xfId="0" applyNumberFormat="1" applyFont="1" applyBorder="1" applyAlignment="1" applyProtection="1">
      <alignment horizontal="center" vertical="center" wrapText="1"/>
    </xf>
    <xf numFmtId="164" fontId="4" fillId="0" borderId="28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9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" fontId="8" fillId="6" borderId="8" xfId="0" applyNumberFormat="1" applyFont="1" applyFill="1" applyBorder="1" applyAlignment="1" applyProtection="1">
      <alignment horizontal="center"/>
    </xf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7" xfId="0" applyNumberFormat="1" applyBorder="1" applyAlignment="1" applyProtection="1">
      <alignment horizontal="center"/>
    </xf>
    <xf numFmtId="14" fontId="1" fillId="0" borderId="37" xfId="0" applyNumberFormat="1" applyFont="1" applyFill="1" applyBorder="1" applyProtection="1"/>
    <xf numFmtId="14" fontId="7" fillId="2" borderId="37" xfId="0" applyNumberFormat="1" applyFont="1" applyFill="1" applyBorder="1" applyAlignment="1" applyProtection="1">
      <alignment horizontal="left"/>
    </xf>
    <xf numFmtId="0" fontId="0" fillId="0" borderId="37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7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48" xfId="0" applyBorder="1" applyProtection="1"/>
    <xf numFmtId="0" fontId="0" fillId="0" borderId="49" xfId="0" applyBorder="1" applyProtection="1"/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6" fontId="0" fillId="0" borderId="0" xfId="0" applyNumberFormat="1" applyFill="1" applyBorder="1" applyProtection="1"/>
    <xf numFmtId="167" fontId="7" fillId="6" borderId="25" xfId="0" applyNumberFormat="1" applyFont="1" applyFill="1" applyBorder="1" applyAlignment="1" applyProtection="1">
      <alignment horizontal="center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0" fontId="4" fillId="0" borderId="23" xfId="0" applyFont="1" applyFill="1" applyBorder="1" applyAlignment="1" applyProtection="1">
      <alignment horizontal="left" vertical="center"/>
    </xf>
    <xf numFmtId="0" fontId="4" fillId="0" borderId="23" xfId="0" quotePrefix="1" applyFont="1" applyFill="1" applyBorder="1" applyAlignment="1" applyProtection="1">
      <alignment horizontal="center" vertical="center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166" fontId="25" fillId="0" borderId="43" xfId="0" applyNumberFormat="1" applyFont="1" applyBorder="1" applyProtection="1"/>
    <xf numFmtId="166" fontId="25" fillId="0" borderId="0" xfId="0" applyNumberFormat="1" applyFont="1" applyProtection="1"/>
    <xf numFmtId="166" fontId="25" fillId="0" borderId="44" xfId="0" applyNumberFormat="1" applyFont="1" applyBorder="1" applyProtection="1"/>
    <xf numFmtId="166" fontId="25" fillId="0" borderId="38" xfId="0" applyNumberFormat="1" applyFont="1" applyBorder="1" applyProtection="1"/>
    <xf numFmtId="166" fontId="25" fillId="0" borderId="41" xfId="0" applyNumberFormat="1" applyFont="1" applyBorder="1" applyProtection="1"/>
    <xf numFmtId="166" fontId="25" fillId="0" borderId="42" xfId="0" applyNumberFormat="1" applyFont="1" applyBorder="1" applyProtection="1"/>
    <xf numFmtId="10" fontId="24" fillId="0" borderId="0" xfId="4" quotePrefix="1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3" xfId="0" quotePrefix="1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/>
    </xf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349016" refreshedDate="45069.354984143516" createdVersion="6" refreshedVersion="7" recordCount="192" xr:uid="{00000000-000A-0000-FFFF-FFFFD6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2-12-02T00:00:00" count="156"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2-02-03T00:00:00" maxDate="2023-01-05T00:00:00"/>
    </cacheField>
    <cacheField name="Payment Received*" numFmtId="14">
      <sharedItems containsSemiMixedTypes="0" containsNonDate="0" containsDate="1" containsString="0" minDate="2022-02-23T00:00:00" maxDate="2023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230"/>
    </cacheField>
    <cacheField name="Projected Rate (as Invoiced)" numFmtId="164">
      <sharedItems containsSemiMixedTypes="0" containsString="0" containsNumber="1" minValue="13.235929037012342" maxValue="13.235929037012342"/>
    </cacheField>
    <cacheField name="Actual True-Up Rate" numFmtId="164">
      <sharedItems containsSemiMixedTypes="0" containsString="0" containsNumber="1" minValue="7.277381992063475" maxValue="7.277381992063475"/>
    </cacheField>
    <cacheField name="True-Up Charge" numFmtId="164">
      <sharedItems containsSemiMixedTypes="0" containsString="0" containsNumber="1" minValue="7.277381992063475" maxValue="30783.3258264285"/>
    </cacheField>
    <cacheField name="Invoiced*** Charge (proj.)" numFmtId="164">
      <sharedItems containsSemiMixedTypes="0" containsString="0" containsNumber="1" minValue="13.235929037012342" maxValue="55987.979826562208"/>
    </cacheField>
    <cacheField name="True-Up w/o Interest" numFmtId="164">
      <sharedItems containsSemiMixedTypes="0" containsString="0" containsNumber="1" minValue="-25204.654000133709" maxValue="-5.9585470449488671"/>
    </cacheField>
    <cacheField name="Interest" numFmtId="164">
      <sharedItems containsSemiMixedTypes="0" containsString="0" containsNumber="1" minValue="-1376.3530093881889" maxValue="-0.3253789620303047"/>
    </cacheField>
    <cacheField name="2020 True Up Including Interest" numFmtId="164">
      <sharedItems containsSemiMixedTypes="0" containsString="0" containsNumber="1" minValue="-26581.007009521898" maxValue="-6.283926006979172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26581.007009521898" maxValue="-6.2839260069791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2-02-03T00:00:00"/>
    <d v="2022-02-23T00:00:00"/>
    <x v="0"/>
    <n v="9"/>
    <n v="2899"/>
    <n v="13.235929037012342"/>
    <n v="7.277381992063475"/>
    <n v="21097.130394992015"/>
    <n v="38370.958278298778"/>
    <n v="-17273.827883306763"/>
    <n v="-943.2736109258534"/>
    <n v="-18217.101494232618"/>
    <n v="0"/>
    <n v="0"/>
    <n v="0"/>
    <n v="-18217.101494232618"/>
  </r>
  <r>
    <x v="1"/>
    <d v="2022-03-03T00:00:00"/>
    <d v="2022-03-22T00:00:00"/>
    <x v="0"/>
    <n v="9"/>
    <n v="2759"/>
    <n v="13.235929037012342"/>
    <n v="7.277381992063475"/>
    <n v="20078.296916103129"/>
    <n v="36517.928213117055"/>
    <n v="-16439.631297013926"/>
    <n v="-897.72055624161067"/>
    <n v="-17337.351853255535"/>
    <n v="0"/>
    <n v="0"/>
    <n v="0"/>
    <n v="-17337.351853255535"/>
  </r>
  <r>
    <x v="2"/>
    <d v="2022-04-05T00:00:00"/>
    <d v="2022-04-25T00:00:00"/>
    <x v="0"/>
    <n v="9"/>
    <n v="2450"/>
    <n v="13.235929037012342"/>
    <n v="7.277381992063475"/>
    <n v="17829.585880555514"/>
    <n v="32428.026140680238"/>
    <n v="-14598.440260124724"/>
    <n v="-797.1784569742465"/>
    <n v="-15395.618717098971"/>
    <n v="0"/>
    <n v="0"/>
    <n v="0"/>
    <n v="-15395.618717098971"/>
  </r>
  <r>
    <x v="3"/>
    <d v="2022-05-04T00:00:00"/>
    <d v="2022-05-24T00:00:00"/>
    <x v="0"/>
    <n v="9"/>
    <n v="2395"/>
    <n v="13.235929037012342"/>
    <n v="7.277381992063475"/>
    <n v="17429.329870992024"/>
    <n v="31700.050043644558"/>
    <n v="-14270.720172652535"/>
    <n v="-779.28261406257968"/>
    <n v="-15050.002786715115"/>
    <n v="0"/>
    <n v="0"/>
    <n v="0"/>
    <n v="-15050.002786715115"/>
  </r>
  <r>
    <x v="4"/>
    <d v="2022-06-03T00:00:00"/>
    <d v="2022-06-23T00:00:00"/>
    <x v="0"/>
    <n v="9"/>
    <n v="3482"/>
    <n v="13.235929037012342"/>
    <n v="7.277381992063475"/>
    <n v="25339.844096365021"/>
    <n v="46087.504906876973"/>
    <n v="-20747.660810511952"/>
    <n v="-1132.9695457895211"/>
    <n v="-21880.630356301474"/>
    <n v="0"/>
    <n v="0"/>
    <n v="0"/>
    <n v="-21880.630356301474"/>
  </r>
  <r>
    <x v="5"/>
    <d v="2022-07-05T00:00:00"/>
    <d v="2022-07-25T00:00:00"/>
    <x v="0"/>
    <n v="9"/>
    <n v="4006"/>
    <n v="13.235929037012342"/>
    <n v="7.277381992063475"/>
    <n v="29153.19226020628"/>
    <n v="53023.131722271442"/>
    <n v="-23869.939462065162"/>
    <n v="-1303.4681218934006"/>
    <n v="-25173.407583958564"/>
    <n v="0"/>
    <n v="0"/>
    <n v="0"/>
    <n v="-25173.407583958564"/>
  </r>
  <r>
    <x v="6"/>
    <d v="2022-08-03T00:00:00"/>
    <d v="2022-08-23T00:00:00"/>
    <x v="0"/>
    <n v="9"/>
    <n v="4230"/>
    <n v="13.235929037012342"/>
    <n v="7.277381992063475"/>
    <n v="30783.3258264285"/>
    <n v="55987.979826562208"/>
    <n v="-25204.654000133709"/>
    <n v="-1376.3530093881889"/>
    <n v="-26581.007009521898"/>
    <n v="0"/>
    <n v="0"/>
    <n v="0"/>
    <n v="-26581.007009521898"/>
  </r>
  <r>
    <x v="7"/>
    <d v="2022-09-05T00:00:00"/>
    <d v="2022-09-23T00:00:00"/>
    <x v="0"/>
    <n v="9"/>
    <n v="4151"/>
    <n v="13.235929037012342"/>
    <n v="7.277381992063475"/>
    <n v="30208.412649055485"/>
    <n v="54942.341432638234"/>
    <n v="-24733.928783582749"/>
    <n v="-1350.6480713877947"/>
    <n v="-26084.576854970543"/>
    <n v="0"/>
    <n v="0"/>
    <n v="0"/>
    <n v="-26084.576854970543"/>
  </r>
  <r>
    <x v="8"/>
    <d v="2022-10-05T00:00:00"/>
    <d v="2022-10-25T00:00:00"/>
    <x v="0"/>
    <n v="9"/>
    <n v="3898"/>
    <n v="13.235929037012342"/>
    <n v="7.277381992063475"/>
    <n v="28367.235005063427"/>
    <n v="51593.651386274112"/>
    <n v="-23226.416381210685"/>
    <n v="-1268.3271939941278"/>
    <n v="-24494.743575204811"/>
    <n v="0"/>
    <n v="0"/>
    <n v="0"/>
    <n v="-24494.743575204811"/>
  </r>
  <r>
    <x v="9"/>
    <d v="2022-11-03T00:00:00"/>
    <d v="2022-11-23T00:00:00"/>
    <x v="0"/>
    <n v="9"/>
    <n v="2760"/>
    <n v="13.235929037012342"/>
    <n v="7.277381992063475"/>
    <n v="20085.574298095191"/>
    <n v="36531.164142154063"/>
    <n v="-16445.589844058872"/>
    <n v="-898.04593520364097"/>
    <n v="-17343.635779262513"/>
    <n v="0"/>
    <n v="0"/>
    <n v="0"/>
    <n v="-17343.635779262513"/>
  </r>
  <r>
    <x v="10"/>
    <d v="2022-12-05T00:00:00"/>
    <d v="2022-12-23T00:00:00"/>
    <x v="0"/>
    <n v="9"/>
    <n v="2561"/>
    <n v="13.235929037012342"/>
    <n v="7.277381992063475"/>
    <n v="18637.375281674558"/>
    <n v="33897.214263788606"/>
    <n v="-15259.838982114048"/>
    <n v="-833.29552175961032"/>
    <n v="-16093.134503873658"/>
    <n v="0"/>
    <n v="0"/>
    <n v="0"/>
    <n v="-16093.134503873658"/>
  </r>
  <r>
    <x v="11"/>
    <d v="2023-01-04T00:00:00"/>
    <d v="2023-01-24T00:00:00"/>
    <x v="0"/>
    <n v="9"/>
    <n v="3150"/>
    <n v="13.235929037012342"/>
    <n v="7.277381992063475"/>
    <n v="22923.753274999945"/>
    <n v="41693.176466588877"/>
    <n v="-18769.423191588932"/>
    <n v="-1024.9437303954599"/>
    <n v="-19794.366921984391"/>
    <n v="0"/>
    <n v="0"/>
    <n v="0"/>
    <n v="-19794.366921984391"/>
  </r>
  <r>
    <x v="0"/>
    <d v="2022-02-03T00:00:00"/>
    <d v="2022-02-23T00:00:00"/>
    <x v="1"/>
    <n v="9"/>
    <n v="2921"/>
    <n v="13.235929037012342"/>
    <n v="7.277381992063475"/>
    <n v="21257.232798817411"/>
    <n v="38662.14871711305"/>
    <n v="-17404.915918295639"/>
    <n v="-950.43194809052"/>
    <n v="-18355.347866386161"/>
    <n v="0"/>
    <n v="0"/>
    <n v="0"/>
    <n v="-18355.347866386161"/>
  </r>
  <r>
    <x v="1"/>
    <d v="2022-03-03T00:00:00"/>
    <d v="2022-03-22T00:00:00"/>
    <x v="1"/>
    <n v="9"/>
    <n v="2853"/>
    <n v="13.235929037012342"/>
    <n v="7.277381992063475"/>
    <n v="20762.370823357094"/>
    <n v="37762.105542596211"/>
    <n v="-16999.734719239117"/>
    <n v="-928.3061786724594"/>
    <n v="-17928.040897911578"/>
    <n v="0"/>
    <n v="0"/>
    <n v="0"/>
    <n v="-17928.040897911578"/>
  </r>
  <r>
    <x v="2"/>
    <d v="2022-04-05T00:00:00"/>
    <d v="2022-04-25T00:00:00"/>
    <x v="1"/>
    <n v="9"/>
    <n v="2560"/>
    <n v="13.235929037012342"/>
    <n v="7.277381992063475"/>
    <n v="18630.097899682496"/>
    <n v="33883.978334751599"/>
    <n v="-15253.880435069103"/>
    <n v="-832.97014279758002"/>
    <n v="-16086.850577866682"/>
    <n v="0"/>
    <n v="0"/>
    <n v="0"/>
    <n v="-16086.850577866682"/>
  </r>
  <r>
    <x v="3"/>
    <d v="2022-05-04T00:00:00"/>
    <d v="2022-05-24T00:00:00"/>
    <x v="1"/>
    <n v="9"/>
    <n v="2434"/>
    <n v="13.235929037012342"/>
    <n v="7.277381992063475"/>
    <n v="17713.147768682498"/>
    <n v="32216.251276088042"/>
    <n v="-14503.103507405543"/>
    <n v="-791.97239358176159"/>
    <n v="-15295.075900987305"/>
    <n v="0"/>
    <n v="0"/>
    <n v="0"/>
    <n v="-15295.075900987305"/>
  </r>
  <r>
    <x v="4"/>
    <d v="2022-06-03T00:00:00"/>
    <d v="2022-06-23T00:00:00"/>
    <x v="1"/>
    <n v="9"/>
    <n v="3117"/>
    <n v="13.235929037012342"/>
    <n v="7.277381992063475"/>
    <n v="22683.59966926185"/>
    <n v="41256.390808367469"/>
    <n v="-18572.791139105619"/>
    <n v="-1014.2062246484597"/>
    <n v="-19586.997363754079"/>
    <n v="0"/>
    <n v="0"/>
    <n v="0"/>
    <n v="-19586.997363754079"/>
  </r>
  <r>
    <x v="5"/>
    <d v="2022-07-05T00:00:00"/>
    <d v="2022-07-25T00:00:00"/>
    <x v="1"/>
    <n v="9"/>
    <n v="3536"/>
    <n v="13.235929037012342"/>
    <n v="7.277381992063475"/>
    <n v="25732.822723936446"/>
    <n v="46802.245074875638"/>
    <n v="-21069.422350939192"/>
    <n v="-1150.5400097391575"/>
    <n v="-22219.96236067835"/>
    <n v="0"/>
    <n v="0"/>
    <n v="0"/>
    <n v="-22219.96236067835"/>
  </r>
  <r>
    <x v="6"/>
    <d v="2022-08-03T00:00:00"/>
    <d v="2022-08-23T00:00:00"/>
    <x v="1"/>
    <n v="9"/>
    <n v="3696"/>
    <n v="13.235929037012342"/>
    <n v="7.277381992063475"/>
    <n v="26897.203842666604"/>
    <n v="48919.993720797618"/>
    <n v="-22022.789878131014"/>
    <n v="-1202.6006436640062"/>
    <n v="-23225.39052179502"/>
    <n v="0"/>
    <n v="0"/>
    <n v="0"/>
    <n v="-23225.39052179502"/>
  </r>
  <r>
    <x v="7"/>
    <d v="2022-09-05T00:00:00"/>
    <d v="2022-09-23T00:00:00"/>
    <x v="1"/>
    <n v="9"/>
    <n v="3632"/>
    <n v="13.235929037012342"/>
    <n v="7.277381992063475"/>
    <n v="26431.451395174543"/>
    <n v="48072.894262428825"/>
    <n v="-21641.442867254282"/>
    <n v="-1181.7763900940668"/>
    <n v="-22823.219257348348"/>
    <n v="0"/>
    <n v="0"/>
    <n v="0"/>
    <n v="-22823.219257348348"/>
  </r>
  <r>
    <x v="8"/>
    <d v="2022-10-05T00:00:00"/>
    <d v="2022-10-25T00:00:00"/>
    <x v="1"/>
    <n v="9"/>
    <n v="3337"/>
    <n v="13.235929037012342"/>
    <n v="7.277381992063475"/>
    <n v="24284.623707515817"/>
    <n v="44168.295196510189"/>
    <n v="-19883.671488994372"/>
    <n v="-1085.7895962951268"/>
    <n v="-20969.461085289498"/>
    <n v="0"/>
    <n v="0"/>
    <n v="0"/>
    <n v="-20969.461085289498"/>
  </r>
  <r>
    <x v="9"/>
    <d v="2022-11-03T00:00:00"/>
    <d v="2022-11-23T00:00:00"/>
    <x v="1"/>
    <n v="9"/>
    <n v="2496"/>
    <n v="13.235929037012342"/>
    <n v="7.277381992063475"/>
    <n v="18164.345452190435"/>
    <n v="33036.878876382805"/>
    <n v="-14872.53342419237"/>
    <n v="-812.14588922764051"/>
    <n v="-15684.679313420011"/>
    <n v="0"/>
    <n v="0"/>
    <n v="0"/>
    <n v="-15684.679313420011"/>
  </r>
  <r>
    <x v="10"/>
    <d v="2022-12-05T00:00:00"/>
    <d v="2022-12-23T00:00:00"/>
    <x v="1"/>
    <n v="9"/>
    <n v="2518"/>
    <n v="13.235929037012342"/>
    <n v="7.277381992063475"/>
    <n v="18324.447856015831"/>
    <n v="33328.069315197077"/>
    <n v="-15003.621459181246"/>
    <n v="-819.30422639230721"/>
    <n v="-15822.925685573553"/>
    <n v="0"/>
    <n v="0"/>
    <n v="0"/>
    <n v="-15822.925685573553"/>
  </r>
  <r>
    <x v="11"/>
    <d v="2023-01-04T00:00:00"/>
    <d v="2023-01-24T00:00:00"/>
    <x v="1"/>
    <n v="9"/>
    <n v="3399"/>
    <n v="13.235929037012342"/>
    <n v="7.277381992063475"/>
    <n v="24735.82139102375"/>
    <n v="44988.922796804953"/>
    <n v="-20253.101405781203"/>
    <n v="-1105.9630919410056"/>
    <n v="-21359.064497722207"/>
    <n v="0"/>
    <n v="0"/>
    <n v="0"/>
    <n v="-21359.064497722207"/>
  </r>
  <r>
    <x v="0"/>
    <d v="2022-02-03T00:00:00"/>
    <d v="2022-02-23T00:00:00"/>
    <x v="2"/>
    <n v="9"/>
    <n v="163"/>
    <n v="13.235929037012342"/>
    <n v="7.277381992063475"/>
    <n v="1186.2132647063465"/>
    <n v="2157.4564330330118"/>
    <n v="-971.24316832666523"/>
    <n v="-53.036770810939664"/>
    <n v="-1024.279939137605"/>
    <n v="0"/>
    <n v="0"/>
    <n v="0"/>
    <n v="-1024.279939137605"/>
  </r>
  <r>
    <x v="1"/>
    <d v="2022-03-03T00:00:00"/>
    <d v="2022-03-22T00:00:00"/>
    <x v="2"/>
    <n v="9"/>
    <n v="155"/>
    <n v="13.235929037012342"/>
    <n v="7.277381992063475"/>
    <n v="1127.9942087698387"/>
    <n v="2051.569000736913"/>
    <n v="-923.57479196707436"/>
    <n v="-50.433739114697225"/>
    <n v="-974.00853108177159"/>
    <n v="0"/>
    <n v="0"/>
    <n v="0"/>
    <n v="-974.00853108177159"/>
  </r>
  <r>
    <x v="2"/>
    <d v="2022-04-05T00:00:00"/>
    <d v="2022-04-25T00:00:00"/>
    <x v="2"/>
    <n v="9"/>
    <n v="141"/>
    <n v="13.235929037012342"/>
    <n v="7.277381992063475"/>
    <n v="1026.11086088095"/>
    <n v="1866.2659942187402"/>
    <n v="-840.15513333779018"/>
    <n v="-45.878433646272967"/>
    <n v="-886.0335669840631"/>
    <n v="0"/>
    <n v="0"/>
    <n v="0"/>
    <n v="-886.0335669840631"/>
  </r>
  <r>
    <x v="3"/>
    <d v="2022-05-04T00:00:00"/>
    <d v="2022-05-24T00:00:00"/>
    <x v="2"/>
    <n v="9"/>
    <n v="92"/>
    <n v="13.235929037012342"/>
    <n v="7.277381992063475"/>
    <n v="669.51914326983967"/>
    <n v="1217.7054714051355"/>
    <n v="-548.18632813529587"/>
    <n v="-29.934864506788031"/>
    <n v="-578.12119264208388"/>
    <n v="0"/>
    <n v="0"/>
    <n v="0"/>
    <n v="-578.12119264208388"/>
  </r>
  <r>
    <x v="4"/>
    <d v="2022-06-03T00:00:00"/>
    <d v="2022-06-23T00:00:00"/>
    <x v="2"/>
    <n v="9"/>
    <n v="131"/>
    <n v="13.235929037012342"/>
    <n v="7.277381992063475"/>
    <n v="953.33704096031522"/>
    <n v="1733.9067038486169"/>
    <n v="-780.56966288830165"/>
    <n v="-42.624644025969914"/>
    <n v="-823.19430691427158"/>
    <n v="0"/>
    <n v="0"/>
    <n v="0"/>
    <n v="-823.19430691427158"/>
  </r>
  <r>
    <x v="5"/>
    <d v="2022-07-05T00:00:00"/>
    <d v="2022-07-25T00:00:00"/>
    <x v="2"/>
    <n v="9"/>
    <n v="152"/>
    <n v="13.235929037012342"/>
    <n v="7.277381992063475"/>
    <n v="1106.1620627936481"/>
    <n v="2011.861213625876"/>
    <n v="-905.69915083222782"/>
    <n v="-49.457602228606312"/>
    <n v="-955.15675306083415"/>
    <n v="0"/>
    <n v="0"/>
    <n v="0"/>
    <n v="-955.15675306083415"/>
  </r>
  <r>
    <x v="6"/>
    <d v="2022-08-03T00:00:00"/>
    <d v="2022-08-23T00:00:00"/>
    <x v="2"/>
    <n v="9"/>
    <n v="149"/>
    <n v="13.235929037012342"/>
    <n v="7.277381992063475"/>
    <n v="1084.3299168174578"/>
    <n v="1972.1534265148389"/>
    <n v="-887.82350969738104"/>
    <n v="-48.481465342515399"/>
    <n v="-936.30497503989648"/>
    <n v="0"/>
    <n v="0"/>
    <n v="0"/>
    <n v="-936.30497503989648"/>
  </r>
  <r>
    <x v="7"/>
    <d v="2022-09-05T00:00:00"/>
    <d v="2022-09-23T00:00:00"/>
    <x v="2"/>
    <n v="9"/>
    <n v="137"/>
    <n v="13.235929037012342"/>
    <n v="7.277381992063475"/>
    <n v="997.00133291269606"/>
    <n v="1813.3222780706908"/>
    <n v="-816.32094515799474"/>
    <n v="-44.57691779815174"/>
    <n v="-860.89786295614647"/>
    <n v="0"/>
    <n v="0"/>
    <n v="0"/>
    <n v="-860.89786295614647"/>
  </r>
  <r>
    <x v="8"/>
    <d v="2022-10-05T00:00:00"/>
    <d v="2022-10-25T00:00:00"/>
    <x v="2"/>
    <n v="9"/>
    <n v="136"/>
    <n v="13.235929037012342"/>
    <n v="7.277381992063475"/>
    <n v="989.72395092063266"/>
    <n v="1800.0863490336785"/>
    <n v="-810.36239811304586"/>
    <n v="-44.251538836121441"/>
    <n v="-854.61393694916728"/>
    <n v="0"/>
    <n v="0"/>
    <n v="0"/>
    <n v="-854.61393694916728"/>
  </r>
  <r>
    <x v="9"/>
    <d v="2022-11-03T00:00:00"/>
    <d v="2022-11-23T00:00:00"/>
    <x v="2"/>
    <n v="9"/>
    <n v="91"/>
    <n v="13.235929037012342"/>
    <n v="7.277381992063475"/>
    <n v="662.24176127777628"/>
    <n v="1204.469542368123"/>
    <n v="-542.22778109034675"/>
    <n v="-29.609485544757725"/>
    <n v="-571.83726663510447"/>
    <n v="0"/>
    <n v="0"/>
    <n v="0"/>
    <n v="-571.83726663510447"/>
  </r>
  <r>
    <x v="10"/>
    <d v="2022-12-05T00:00:00"/>
    <d v="2022-12-23T00:00:00"/>
    <x v="2"/>
    <n v="9"/>
    <n v="113"/>
    <n v="13.235929037012342"/>
    <n v="7.277381992063475"/>
    <n v="822.34416510317271"/>
    <n v="1495.6599811823946"/>
    <n v="-673.31581607922192"/>
    <n v="-36.767822709424436"/>
    <n v="-710.08363878864634"/>
    <n v="0"/>
    <n v="0"/>
    <n v="0"/>
    <n v="-710.08363878864634"/>
  </r>
  <r>
    <x v="11"/>
    <d v="2023-01-04T00:00:00"/>
    <d v="2023-01-24T00:00:00"/>
    <x v="2"/>
    <n v="9"/>
    <n v="210"/>
    <n v="13.235929037012342"/>
    <n v="7.277381992063475"/>
    <n v="1528.2502183333297"/>
    <n v="2779.5450977725918"/>
    <n v="-1251.2948794392621"/>
    <n v="-68.329582026363994"/>
    <n v="-1319.6244614656262"/>
    <n v="0"/>
    <n v="0"/>
    <n v="0"/>
    <n v="-1319.6244614656262"/>
  </r>
  <r>
    <x v="0"/>
    <d v="2022-02-03T00:00:00"/>
    <d v="2022-02-23T00:00:00"/>
    <x v="3"/>
    <n v="9"/>
    <n v="893"/>
    <n v="13.235929037012342"/>
    <n v="7.277381992063475"/>
    <n v="6498.7021189126835"/>
    <n v="11819.684630052021"/>
    <n v="-5320.9825111393375"/>
    <n v="-290.56341309306208"/>
    <n v="-5611.5459242323996"/>
    <n v="0"/>
    <n v="0"/>
    <n v="0"/>
    <n v="-5611.5459242323996"/>
  </r>
  <r>
    <x v="1"/>
    <d v="2022-03-03T00:00:00"/>
    <d v="2022-03-22T00:00:00"/>
    <x v="3"/>
    <n v="9"/>
    <n v="796"/>
    <n v="13.235929037012342"/>
    <n v="7.277381992063475"/>
    <n v="5792.7960656825262"/>
    <n v="10535.799513461825"/>
    <n v="-4743.0034477792988"/>
    <n v="-259.00165377612257"/>
    <n v="-5002.0051015554218"/>
    <n v="0"/>
    <n v="0"/>
    <n v="0"/>
    <n v="-5002.0051015554218"/>
  </r>
  <r>
    <x v="2"/>
    <d v="2022-04-05T00:00:00"/>
    <d v="2022-04-25T00:00:00"/>
    <x v="3"/>
    <n v="9"/>
    <n v="700"/>
    <n v="13.235929037012342"/>
    <n v="7.277381992063475"/>
    <n v="5094.1673944444328"/>
    <n v="9265.1503259086403"/>
    <n v="-4170.9829314642075"/>
    <n v="-227.76527342121329"/>
    <n v="-4398.7482048854208"/>
    <n v="0"/>
    <n v="0"/>
    <n v="0"/>
    <n v="-4398.7482048854208"/>
  </r>
  <r>
    <x v="3"/>
    <d v="2022-05-04T00:00:00"/>
    <d v="2022-05-24T00:00:00"/>
    <x v="3"/>
    <n v="9"/>
    <n v="549"/>
    <n v="13.235929037012342"/>
    <n v="7.277381992063475"/>
    <n v="3995.2827136428477"/>
    <n v="7266.5250413197755"/>
    <n v="-3271.2423276769277"/>
    <n v="-178.63305015463729"/>
    <n v="-3449.8753778315649"/>
    <n v="0"/>
    <n v="0"/>
    <n v="0"/>
    <n v="-3449.8753778315649"/>
  </r>
  <r>
    <x v="4"/>
    <d v="2022-06-03T00:00:00"/>
    <d v="2022-06-23T00:00:00"/>
    <x v="3"/>
    <n v="9"/>
    <n v="753"/>
    <n v="13.235929037012342"/>
    <n v="7.277381992063475"/>
    <n v="5479.8686400237966"/>
    <n v="9966.6545648702941"/>
    <n v="-4486.7859248464974"/>
    <n v="-245.01035840881943"/>
    <n v="-4731.7962832553167"/>
    <n v="0"/>
    <n v="0"/>
    <n v="0"/>
    <n v="-4731.7962832553167"/>
  </r>
  <r>
    <x v="5"/>
    <d v="2022-07-05T00:00:00"/>
    <d v="2022-07-25T00:00:00"/>
    <x v="3"/>
    <n v="9"/>
    <n v="942"/>
    <n v="13.235929037012342"/>
    <n v="7.277381992063475"/>
    <n v="6855.2938365237933"/>
    <n v="12468.245152865626"/>
    <n v="-5612.9513163418324"/>
    <n v="-306.50698223254705"/>
    <n v="-5919.4582985743791"/>
    <n v="0"/>
    <n v="0"/>
    <n v="0"/>
    <n v="-5919.4582985743791"/>
  </r>
  <r>
    <x v="6"/>
    <d v="2022-08-03T00:00:00"/>
    <d v="2022-08-23T00:00:00"/>
    <x v="3"/>
    <n v="9"/>
    <n v="1036"/>
    <n v="13.235929037012342"/>
    <n v="7.277381992063475"/>
    <n v="7539.3677437777606"/>
    <n v="13712.422482344786"/>
    <n v="-6173.0547385670252"/>
    <n v="-337.09260466339566"/>
    <n v="-6510.147343230421"/>
    <n v="0"/>
    <n v="0"/>
    <n v="0"/>
    <n v="-6510.147343230421"/>
  </r>
  <r>
    <x v="7"/>
    <d v="2022-09-05T00:00:00"/>
    <d v="2022-09-23T00:00:00"/>
    <x v="3"/>
    <n v="9"/>
    <n v="954"/>
    <n v="13.235929037012342"/>
    <n v="7.277381992063475"/>
    <n v="6942.6224204285554"/>
    <n v="12627.076301309775"/>
    <n v="-5684.4538808812194"/>
    <n v="-310.4115297769107"/>
    <n v="-5994.8654106581298"/>
    <n v="0"/>
    <n v="0"/>
    <n v="0"/>
    <n v="-5994.8654106581298"/>
  </r>
  <r>
    <x v="8"/>
    <d v="2022-10-05T00:00:00"/>
    <d v="2022-10-25T00:00:00"/>
    <x v="3"/>
    <n v="9"/>
    <n v="860"/>
    <n v="13.235929037012342"/>
    <n v="7.277381992063475"/>
    <n v="6258.5485131745882"/>
    <n v="11382.898971830615"/>
    <n v="-5124.3504586560266"/>
    <n v="-279.82590734606208"/>
    <n v="-5404.1763660020888"/>
    <n v="0"/>
    <n v="0"/>
    <n v="0"/>
    <n v="-5404.1763660020888"/>
  </r>
  <r>
    <x v="9"/>
    <d v="2022-11-03T00:00:00"/>
    <d v="2022-11-23T00:00:00"/>
    <x v="3"/>
    <n v="9"/>
    <n v="589"/>
    <n v="13.235929037012342"/>
    <n v="7.277381992063475"/>
    <n v="4286.3779933253863"/>
    <n v="7795.9622028002696"/>
    <n v="-3509.5842094748832"/>
    <n v="-191.64820863584947"/>
    <n v="-3701.2324181107329"/>
    <n v="0"/>
    <n v="0"/>
    <n v="0"/>
    <n v="-3701.2324181107329"/>
  </r>
  <r>
    <x v="10"/>
    <d v="2022-12-05T00:00:00"/>
    <d v="2022-12-23T00:00:00"/>
    <x v="3"/>
    <n v="9"/>
    <n v="730"/>
    <n v="13.235929037012342"/>
    <n v="7.277381992063475"/>
    <n v="5312.4888542063363"/>
    <n v="9662.2281970190106"/>
    <n v="-4349.7393428126743"/>
    <n v="-237.52664228212245"/>
    <n v="-4587.2659850947966"/>
    <n v="0"/>
    <n v="0"/>
    <n v="0"/>
    <n v="-4587.2659850947966"/>
  </r>
  <r>
    <x v="11"/>
    <d v="2023-01-04T00:00:00"/>
    <d v="2023-01-24T00:00:00"/>
    <x v="3"/>
    <n v="9"/>
    <n v="1123"/>
    <n v="13.235929037012342"/>
    <n v="7.277381992063475"/>
    <n v="8172.4999770872828"/>
    <n v="14863.948308564861"/>
    <n v="-6691.448331477578"/>
    <n v="-365.40057436003218"/>
    <n v="-7056.8489058376099"/>
    <n v="0"/>
    <n v="0"/>
    <n v="0"/>
    <n v="-7056.8489058376099"/>
  </r>
  <r>
    <x v="0"/>
    <d v="2022-02-03T00:00:00"/>
    <d v="2022-02-23T00:00:00"/>
    <x v="4"/>
    <n v="9"/>
    <n v="48"/>
    <n v="13.235929037012342"/>
    <n v="7.277381992063475"/>
    <n v="349.3143356190468"/>
    <n v="635.32459377659245"/>
    <n v="-286.01025815754565"/>
    <n v="-15.618190177454625"/>
    <n v="-301.62844833500026"/>
    <n v="0"/>
    <n v="0"/>
    <n v="0"/>
    <n v="-301.62844833500026"/>
  </r>
  <r>
    <x v="1"/>
    <d v="2022-03-03T00:00:00"/>
    <d v="2022-03-22T00:00:00"/>
    <x v="4"/>
    <n v="9"/>
    <n v="45"/>
    <n v="13.235929037012342"/>
    <n v="7.277381992063475"/>
    <n v="327.48218964285638"/>
    <n v="595.61680666555537"/>
    <n v="-268.13461702269899"/>
    <n v="-14.642053291363712"/>
    <n v="-282.7766703140627"/>
    <n v="0"/>
    <n v="0"/>
    <n v="0"/>
    <n v="-282.7766703140627"/>
  </r>
  <r>
    <x v="2"/>
    <d v="2022-04-05T00:00:00"/>
    <d v="2022-04-25T00:00:00"/>
    <x v="4"/>
    <n v="9"/>
    <n v="38"/>
    <n v="13.235929037012342"/>
    <n v="7.277381992063475"/>
    <n v="276.54051569841204"/>
    <n v="502.96530340646899"/>
    <n v="-226.42478770805695"/>
    <n v="-12.364400557151578"/>
    <n v="-238.78918826520854"/>
    <n v="0"/>
    <n v="0"/>
    <n v="0"/>
    <n v="-238.78918826520854"/>
  </r>
  <r>
    <x v="3"/>
    <d v="2022-05-04T00:00:00"/>
    <d v="2022-05-24T00:00:00"/>
    <x v="4"/>
    <n v="9"/>
    <n v="26"/>
    <n v="13.235929037012342"/>
    <n v="7.277381992063475"/>
    <n v="189.21193179365036"/>
    <n v="344.13415496232091"/>
    <n v="-154.92222316867054"/>
    <n v="-8.4598530127879226"/>
    <n v="-163.38207618145847"/>
    <n v="0"/>
    <n v="0"/>
    <n v="0"/>
    <n v="-163.38207618145847"/>
  </r>
  <r>
    <x v="4"/>
    <d v="2022-06-03T00:00:00"/>
    <d v="2022-06-23T00:00:00"/>
    <x v="4"/>
    <n v="9"/>
    <n v="43"/>
    <n v="13.235929037012342"/>
    <n v="7.277381992063475"/>
    <n v="312.92742565872942"/>
    <n v="569.14494859153069"/>
    <n v="-256.21752293280127"/>
    <n v="-13.991295367303103"/>
    <n v="-270.20881830010438"/>
    <n v="0"/>
    <n v="0"/>
    <n v="0"/>
    <n v="-270.20881830010438"/>
  </r>
  <r>
    <x v="5"/>
    <d v="2022-07-05T00:00:00"/>
    <d v="2022-07-25T00:00:00"/>
    <x v="4"/>
    <n v="9"/>
    <n v="54"/>
    <n v="13.235929037012342"/>
    <n v="7.277381992063475"/>
    <n v="392.97862757142764"/>
    <n v="714.74016799866649"/>
    <n v="-321.76154042723886"/>
    <n v="-17.570463949636455"/>
    <n v="-339.33200437687532"/>
    <n v="0"/>
    <n v="0"/>
    <n v="0"/>
    <n v="-339.33200437687532"/>
  </r>
  <r>
    <x v="6"/>
    <d v="2022-08-03T00:00:00"/>
    <d v="2022-08-23T00:00:00"/>
    <x v="4"/>
    <n v="9"/>
    <n v="57"/>
    <n v="13.235929037012342"/>
    <n v="7.277381992063475"/>
    <n v="414.81077354761806"/>
    <n v="754.44795510970346"/>
    <n v="-339.6371815620854"/>
    <n v="-18.546600835727368"/>
    <n v="-358.18378239781276"/>
    <n v="0"/>
    <n v="0"/>
    <n v="0"/>
    <n v="-358.18378239781276"/>
  </r>
  <r>
    <x v="7"/>
    <d v="2022-09-05T00:00:00"/>
    <d v="2022-09-23T00:00:00"/>
    <x v="4"/>
    <n v="9"/>
    <n v="54"/>
    <n v="13.235929037012342"/>
    <n v="7.277381992063475"/>
    <n v="392.97862757142764"/>
    <n v="714.74016799866649"/>
    <n v="-321.76154042723886"/>
    <n v="-17.570463949636455"/>
    <n v="-339.33200437687532"/>
    <n v="0"/>
    <n v="0"/>
    <n v="0"/>
    <n v="-339.33200437687532"/>
  </r>
  <r>
    <x v="8"/>
    <d v="2022-10-05T00:00:00"/>
    <d v="2022-10-25T00:00:00"/>
    <x v="4"/>
    <n v="9"/>
    <n v="53"/>
    <n v="13.235929037012342"/>
    <n v="7.277381992063475"/>
    <n v="385.70124557936418"/>
    <n v="701.5042389616541"/>
    <n v="-315.80299338228991"/>
    <n v="-17.245084987606148"/>
    <n v="-333.04807836989607"/>
    <n v="0"/>
    <n v="0"/>
    <n v="0"/>
    <n v="-333.04807836989607"/>
  </r>
  <r>
    <x v="9"/>
    <d v="2022-11-03T00:00:00"/>
    <d v="2022-11-23T00:00:00"/>
    <x v="4"/>
    <n v="9"/>
    <n v="31"/>
    <n v="13.235929037012342"/>
    <n v="7.277381992063475"/>
    <n v="225.59884175396772"/>
    <n v="410.31380014738261"/>
    <n v="-184.71495839341489"/>
    <n v="-10.086747822939445"/>
    <n v="-194.80170621635435"/>
    <n v="0"/>
    <n v="0"/>
    <n v="0"/>
    <n v="-194.80170621635435"/>
  </r>
  <r>
    <x v="10"/>
    <d v="2022-12-05T00:00:00"/>
    <d v="2022-12-23T00:00:00"/>
    <x v="4"/>
    <n v="9"/>
    <n v="38"/>
    <n v="13.235929037012342"/>
    <n v="7.277381992063475"/>
    <n v="276.54051569841204"/>
    <n v="502.96530340646899"/>
    <n v="-226.42478770805695"/>
    <n v="-12.364400557151578"/>
    <n v="-238.78918826520854"/>
    <n v="0"/>
    <n v="0"/>
    <n v="0"/>
    <n v="-238.78918826520854"/>
  </r>
  <r>
    <x v="11"/>
    <d v="2023-01-04T00:00:00"/>
    <d v="2023-01-24T00:00:00"/>
    <x v="4"/>
    <n v="9"/>
    <n v="58"/>
    <n v="13.235929037012342"/>
    <n v="7.277381992063475"/>
    <n v="422.08815553968157"/>
    <n v="767.68388414671585"/>
    <n v="-345.59572860703429"/>
    <n v="-18.871979797757671"/>
    <n v="-364.46770840479195"/>
    <n v="0"/>
    <n v="0"/>
    <n v="0"/>
    <n v="-364.46770840479195"/>
  </r>
  <r>
    <x v="0"/>
    <d v="2022-02-03T00:00:00"/>
    <d v="2022-02-23T00:00:00"/>
    <x v="5"/>
    <n v="9"/>
    <n v="50"/>
    <n v="13.235929037012342"/>
    <n v="7.277381992063475"/>
    <n v="363.86909960317377"/>
    <n v="661.79645185061713"/>
    <n v="-297.92735224744337"/>
    <n v="-16.268948101515235"/>
    <n v="-314.19630034895863"/>
    <n v="0"/>
    <n v="0"/>
    <n v="0"/>
    <n v="-314.19630034895863"/>
  </r>
  <r>
    <x v="1"/>
    <d v="2022-03-03T00:00:00"/>
    <d v="2022-03-22T00:00:00"/>
    <x v="5"/>
    <n v="9"/>
    <n v="49"/>
    <n v="13.235929037012342"/>
    <n v="7.277381992063475"/>
    <n v="356.59171761111025"/>
    <n v="648.56052281360473"/>
    <n v="-291.96880520249448"/>
    <n v="-15.94356913948493"/>
    <n v="-307.91237434197939"/>
    <n v="0"/>
    <n v="0"/>
    <n v="0"/>
    <n v="-307.91237434197939"/>
  </r>
  <r>
    <x v="2"/>
    <d v="2022-04-05T00:00:00"/>
    <d v="2022-04-25T00:00:00"/>
    <x v="5"/>
    <n v="9"/>
    <n v="45"/>
    <n v="13.235929037012342"/>
    <n v="7.277381992063475"/>
    <n v="327.48218964285638"/>
    <n v="595.61680666555537"/>
    <n v="-268.13461702269899"/>
    <n v="-14.642053291363712"/>
    <n v="-282.7766703140627"/>
    <n v="0"/>
    <n v="0"/>
    <n v="0"/>
    <n v="-282.7766703140627"/>
  </r>
  <r>
    <x v="3"/>
    <d v="2022-05-04T00:00:00"/>
    <d v="2022-05-24T00:00:00"/>
    <x v="5"/>
    <n v="9"/>
    <n v="34"/>
    <n v="13.235929037012342"/>
    <n v="7.277381992063475"/>
    <n v="247.43098773015817"/>
    <n v="450.02158725841963"/>
    <n v="-202.59059952826146"/>
    <n v="-11.06288470903036"/>
    <n v="-213.65348423729182"/>
    <n v="0"/>
    <n v="0"/>
    <n v="0"/>
    <n v="-213.65348423729182"/>
  </r>
  <r>
    <x v="4"/>
    <d v="2022-06-03T00:00:00"/>
    <d v="2022-06-23T00:00:00"/>
    <x v="5"/>
    <n v="9"/>
    <n v="42"/>
    <n v="13.235929037012342"/>
    <n v="7.277381992063475"/>
    <n v="305.65004366666597"/>
    <n v="555.90901955451841"/>
    <n v="-250.25897588785244"/>
    <n v="-13.665916405272798"/>
    <n v="-263.92489229312525"/>
    <n v="0"/>
    <n v="0"/>
    <n v="0"/>
    <n v="-263.92489229312525"/>
  </r>
  <r>
    <x v="5"/>
    <d v="2022-07-05T00:00:00"/>
    <d v="2022-07-25T00:00:00"/>
    <x v="5"/>
    <n v="9"/>
    <n v="49"/>
    <n v="13.235929037012342"/>
    <n v="7.277381992063475"/>
    <n v="356.59171761111025"/>
    <n v="648.56052281360473"/>
    <n v="-291.96880520249448"/>
    <n v="-15.94356913948493"/>
    <n v="-307.91237434197939"/>
    <n v="0"/>
    <n v="0"/>
    <n v="0"/>
    <n v="-307.91237434197939"/>
  </r>
  <r>
    <x v="6"/>
    <d v="2022-08-03T00:00:00"/>
    <d v="2022-08-23T00:00:00"/>
    <x v="5"/>
    <n v="9"/>
    <n v="54"/>
    <n v="13.235929037012342"/>
    <n v="7.277381992063475"/>
    <n v="392.97862757142764"/>
    <n v="714.74016799866649"/>
    <n v="-321.76154042723886"/>
    <n v="-17.570463949636455"/>
    <n v="-339.33200437687532"/>
    <n v="0"/>
    <n v="0"/>
    <n v="0"/>
    <n v="-339.33200437687532"/>
  </r>
  <r>
    <x v="7"/>
    <d v="2022-09-05T00:00:00"/>
    <d v="2022-09-23T00:00:00"/>
    <x v="5"/>
    <n v="9"/>
    <n v="47"/>
    <n v="13.235929037012342"/>
    <n v="7.277381992063475"/>
    <n v="342.03695362698335"/>
    <n v="622.08866473958005"/>
    <n v="-280.05171111259671"/>
    <n v="-15.292811215424321"/>
    <n v="-295.34452232802101"/>
    <n v="0"/>
    <n v="0"/>
    <n v="0"/>
    <n v="-295.34452232802101"/>
  </r>
  <r>
    <x v="8"/>
    <d v="2022-10-05T00:00:00"/>
    <d v="2022-10-25T00:00:00"/>
    <x v="5"/>
    <n v="9"/>
    <n v="47"/>
    <n v="13.235929037012342"/>
    <n v="7.277381992063475"/>
    <n v="342.03695362698335"/>
    <n v="622.08866473958005"/>
    <n v="-280.05171111259671"/>
    <n v="-15.292811215424321"/>
    <n v="-295.34452232802101"/>
    <n v="0"/>
    <n v="0"/>
    <n v="0"/>
    <n v="-295.34452232802101"/>
  </r>
  <r>
    <x v="9"/>
    <d v="2022-11-03T00:00:00"/>
    <d v="2022-11-23T00:00:00"/>
    <x v="5"/>
    <n v="9"/>
    <n v="39"/>
    <n v="13.235929037012342"/>
    <n v="7.277381992063475"/>
    <n v="283.81789769047555"/>
    <n v="516.20123244348133"/>
    <n v="-232.38333475300578"/>
    <n v="-12.689779519181883"/>
    <n v="-245.07311427218767"/>
    <n v="0"/>
    <n v="0"/>
    <n v="0"/>
    <n v="-245.07311427218767"/>
  </r>
  <r>
    <x v="10"/>
    <d v="2022-12-05T00:00:00"/>
    <d v="2022-12-23T00:00:00"/>
    <x v="5"/>
    <n v="9"/>
    <n v="45"/>
    <n v="13.235929037012342"/>
    <n v="7.277381992063475"/>
    <n v="327.48218964285638"/>
    <n v="595.61680666555537"/>
    <n v="-268.13461702269899"/>
    <n v="-14.642053291363712"/>
    <n v="-282.7766703140627"/>
    <n v="0"/>
    <n v="0"/>
    <n v="0"/>
    <n v="-282.7766703140627"/>
  </r>
  <r>
    <x v="11"/>
    <d v="2023-01-04T00:00:00"/>
    <d v="2023-01-24T00:00:00"/>
    <x v="5"/>
    <n v="9"/>
    <n v="61"/>
    <n v="13.235929037012342"/>
    <n v="7.277381992063475"/>
    <n v="443.92030151587198"/>
    <n v="807.39167125775282"/>
    <n v="-363.47136974188084"/>
    <n v="-19.848116683848584"/>
    <n v="-383.31948642572939"/>
    <n v="0"/>
    <n v="0"/>
    <n v="0"/>
    <n v="-383.31948642572939"/>
  </r>
  <r>
    <x v="0"/>
    <d v="2022-02-03T00:00:00"/>
    <d v="2022-02-23T00:00:00"/>
    <x v="6"/>
    <n v="9"/>
    <n v="92"/>
    <n v="13.235929037012342"/>
    <n v="7.277381992063475"/>
    <n v="669.51914326983967"/>
    <n v="1217.7054714051355"/>
    <n v="-548.18632813529587"/>
    <n v="-29.934864506788031"/>
    <n v="-578.12119264208388"/>
    <n v="0"/>
    <n v="0"/>
    <n v="0"/>
    <n v="-578.12119264208388"/>
  </r>
  <r>
    <x v="1"/>
    <d v="2022-03-03T00:00:00"/>
    <d v="2022-03-22T00:00:00"/>
    <x v="6"/>
    <n v="9"/>
    <n v="88"/>
    <n v="13.235929037012342"/>
    <n v="7.277381992063475"/>
    <n v="640.40961530158575"/>
    <n v="1164.7617552570862"/>
    <n v="-524.35213995550043"/>
    <n v="-28.633348658666812"/>
    <n v="-552.98548861416725"/>
    <n v="0"/>
    <n v="0"/>
    <n v="0"/>
    <n v="-552.98548861416725"/>
  </r>
  <r>
    <x v="2"/>
    <d v="2022-04-05T00:00:00"/>
    <d v="2022-04-25T00:00:00"/>
    <x v="6"/>
    <n v="9"/>
    <n v="71"/>
    <n v="13.235929037012342"/>
    <n v="7.277381992063475"/>
    <n v="516.69412143650675"/>
    <n v="939.75096162787634"/>
    <n v="-423.05684019136959"/>
    <n v="-23.101906304151633"/>
    <n v="-446.1587464955212"/>
    <n v="0"/>
    <n v="0"/>
    <n v="0"/>
    <n v="-446.1587464955212"/>
  </r>
  <r>
    <x v="3"/>
    <d v="2022-05-04T00:00:00"/>
    <d v="2022-05-24T00:00:00"/>
    <x v="6"/>
    <n v="9"/>
    <n v="76"/>
    <n v="13.235929037012342"/>
    <n v="7.277381992063475"/>
    <n v="553.08103139682407"/>
    <n v="1005.930606812938"/>
    <n v="-452.84957541611391"/>
    <n v="-24.728801114303156"/>
    <n v="-477.57837653041707"/>
    <n v="0"/>
    <n v="0"/>
    <n v="0"/>
    <n v="-477.57837653041707"/>
  </r>
  <r>
    <x v="4"/>
    <d v="2022-06-03T00:00:00"/>
    <d v="2022-06-23T00:00:00"/>
    <x v="6"/>
    <n v="9"/>
    <n v="134"/>
    <n v="13.235929037012342"/>
    <n v="7.277381992063475"/>
    <n v="975.16918693650564"/>
    <n v="1773.6144909596539"/>
    <n v="-798.44530402314831"/>
    <n v="-43.600780912060827"/>
    <n v="-842.04608493520914"/>
    <n v="0"/>
    <n v="0"/>
    <n v="0"/>
    <n v="-842.04608493520914"/>
  </r>
  <r>
    <x v="5"/>
    <d v="2022-07-05T00:00:00"/>
    <d v="2022-07-25T00:00:00"/>
    <x v="6"/>
    <n v="9"/>
    <n v="145"/>
    <n v="13.235929037012342"/>
    <n v="7.277381992063475"/>
    <n v="1055.2203888492038"/>
    <n v="1919.2097103667895"/>
    <n v="-863.98932151758572"/>
    <n v="-47.17994949439418"/>
    <n v="-911.16927101197984"/>
    <n v="0"/>
    <n v="0"/>
    <n v="0"/>
    <n v="-911.16927101197984"/>
  </r>
  <r>
    <x v="6"/>
    <d v="2022-08-03T00:00:00"/>
    <d v="2022-08-23T00:00:00"/>
    <x v="6"/>
    <n v="9"/>
    <n v="161"/>
    <n v="13.235929037012342"/>
    <n v="7.277381992063475"/>
    <n v="1171.6585007222195"/>
    <n v="2130.9845749589872"/>
    <n v="-959.32607423676768"/>
    <n v="-52.386012886879051"/>
    <n v="-1011.7120871236467"/>
    <n v="0"/>
    <n v="0"/>
    <n v="0"/>
    <n v="-1011.7120871236467"/>
  </r>
  <r>
    <x v="7"/>
    <d v="2022-09-05T00:00:00"/>
    <d v="2022-09-23T00:00:00"/>
    <x v="6"/>
    <n v="9"/>
    <n v="154"/>
    <n v="13.235929037012342"/>
    <n v="7.277381992063475"/>
    <n v="1120.7168267777752"/>
    <n v="2038.3330716999008"/>
    <n v="-917.61624492212559"/>
    <n v="-50.108360152666926"/>
    <n v="-967.72460507479252"/>
    <n v="0"/>
    <n v="0"/>
    <n v="0"/>
    <n v="-967.72460507479252"/>
  </r>
  <r>
    <x v="8"/>
    <d v="2022-10-05T00:00:00"/>
    <d v="2022-10-25T00:00:00"/>
    <x v="6"/>
    <n v="9"/>
    <n v="132"/>
    <n v="13.235929037012342"/>
    <n v="7.277381992063475"/>
    <n v="960.61442295237873"/>
    <n v="1747.1426328856292"/>
    <n v="-786.52820993325042"/>
    <n v="-42.950022988000221"/>
    <n v="-829.47823292125065"/>
    <n v="0"/>
    <n v="0"/>
    <n v="0"/>
    <n v="-829.47823292125065"/>
  </r>
  <r>
    <x v="9"/>
    <d v="2022-11-03T00:00:00"/>
    <d v="2022-11-23T00:00:00"/>
    <x v="6"/>
    <n v="9"/>
    <n v="91"/>
    <n v="13.235929037012342"/>
    <n v="7.277381992063475"/>
    <n v="662.24176127777628"/>
    <n v="1204.469542368123"/>
    <n v="-542.22778109034675"/>
    <n v="-29.609485544757725"/>
    <n v="-571.83726663510447"/>
    <n v="0"/>
    <n v="0"/>
    <n v="0"/>
    <n v="-571.83726663510447"/>
  </r>
  <r>
    <x v="10"/>
    <d v="2022-12-05T00:00:00"/>
    <d v="2022-12-23T00:00:00"/>
    <x v="6"/>
    <n v="9"/>
    <n v="67"/>
    <n v="13.235929037012342"/>
    <n v="7.277381992063475"/>
    <n v="487.58459346825282"/>
    <n v="886.80724547982697"/>
    <n v="-399.22265201157416"/>
    <n v="-21.800390456030414"/>
    <n v="-421.02304246760457"/>
    <n v="0"/>
    <n v="0"/>
    <n v="0"/>
    <n v="-421.02304246760457"/>
  </r>
  <r>
    <x v="11"/>
    <d v="2023-01-04T00:00:00"/>
    <d v="2023-01-24T00:00:00"/>
    <x v="6"/>
    <n v="9"/>
    <n v="96"/>
    <n v="13.235929037012342"/>
    <n v="7.277381992063475"/>
    <n v="698.6286712380936"/>
    <n v="1270.6491875531849"/>
    <n v="-572.0205163150913"/>
    <n v="-31.236380354909251"/>
    <n v="-603.25689667000051"/>
    <n v="0"/>
    <n v="0"/>
    <n v="0"/>
    <n v="-603.25689667000051"/>
  </r>
  <r>
    <x v="0"/>
    <d v="2022-02-03T00:00:00"/>
    <d v="2022-02-23T00:00:00"/>
    <x v="7"/>
    <n v="9"/>
    <n v="42"/>
    <n v="13.235929037012342"/>
    <n v="7.277381992063475"/>
    <n v="305.65004366666597"/>
    <n v="555.90901955451841"/>
    <n v="-250.25897588785244"/>
    <n v="-13.665916405272798"/>
    <n v="-263.92489229312525"/>
    <n v="0"/>
    <n v="0"/>
    <n v="0"/>
    <n v="-263.92489229312525"/>
  </r>
  <r>
    <x v="1"/>
    <d v="2022-03-03T00:00:00"/>
    <d v="2022-03-22T00:00:00"/>
    <x v="7"/>
    <n v="9"/>
    <n v="43"/>
    <n v="13.235929037012342"/>
    <n v="7.277381992063475"/>
    <n v="312.92742565872942"/>
    <n v="569.14494859153069"/>
    <n v="-256.21752293280127"/>
    <n v="-13.991295367303103"/>
    <n v="-270.20881830010438"/>
    <n v="0"/>
    <n v="0"/>
    <n v="0"/>
    <n v="-270.20881830010438"/>
  </r>
  <r>
    <x v="2"/>
    <d v="2022-04-05T00:00:00"/>
    <d v="2022-04-25T00:00:00"/>
    <x v="7"/>
    <n v="9"/>
    <n v="42"/>
    <n v="13.235929037012342"/>
    <n v="7.277381992063475"/>
    <n v="305.65004366666597"/>
    <n v="555.90901955451841"/>
    <n v="-250.25897588785244"/>
    <n v="-13.665916405272798"/>
    <n v="-263.92489229312525"/>
    <n v="0"/>
    <n v="0"/>
    <n v="0"/>
    <n v="-263.92489229312525"/>
  </r>
  <r>
    <x v="3"/>
    <d v="2022-05-04T00:00:00"/>
    <d v="2022-05-24T00:00:00"/>
    <x v="7"/>
    <n v="9"/>
    <n v="52"/>
    <n v="13.235929037012342"/>
    <n v="7.277381992063475"/>
    <n v="378.42386358730073"/>
    <n v="688.26830992464181"/>
    <n v="-309.84444633734108"/>
    <n v="-16.919706025575845"/>
    <n v="-326.76415236291695"/>
    <n v="0"/>
    <n v="0"/>
    <n v="0"/>
    <n v="-326.76415236291695"/>
  </r>
  <r>
    <x v="4"/>
    <d v="2022-06-03T00:00:00"/>
    <d v="2022-06-23T00:00:00"/>
    <x v="7"/>
    <n v="9"/>
    <n v="52"/>
    <n v="13.235929037012342"/>
    <n v="7.277381992063475"/>
    <n v="378.42386358730073"/>
    <n v="688.26830992464181"/>
    <n v="-309.84444633734108"/>
    <n v="-16.919706025575845"/>
    <n v="-326.76415236291695"/>
    <n v="0"/>
    <n v="0"/>
    <n v="0"/>
    <n v="-326.76415236291695"/>
  </r>
  <r>
    <x v="5"/>
    <d v="2022-07-05T00:00:00"/>
    <d v="2022-07-25T00:00:00"/>
    <x v="7"/>
    <n v="9"/>
    <n v="56"/>
    <n v="13.235929037012342"/>
    <n v="7.277381992063475"/>
    <n v="407.5333915555546"/>
    <n v="741.21202607269117"/>
    <n v="-333.67863451713657"/>
    <n v="-18.221221873697061"/>
    <n v="-351.89985639083363"/>
    <n v="0"/>
    <n v="0"/>
    <n v="0"/>
    <n v="-351.89985639083363"/>
  </r>
  <r>
    <x v="6"/>
    <d v="2022-08-03T00:00:00"/>
    <d v="2022-08-23T00:00:00"/>
    <x v="7"/>
    <n v="9"/>
    <n v="58"/>
    <n v="13.235929037012342"/>
    <n v="7.277381992063475"/>
    <n v="422.08815553968157"/>
    <n v="767.68388414671585"/>
    <n v="-345.59572860703429"/>
    <n v="-18.871979797757671"/>
    <n v="-364.46770840479195"/>
    <n v="0"/>
    <n v="0"/>
    <n v="0"/>
    <n v="-364.46770840479195"/>
  </r>
  <r>
    <x v="7"/>
    <d v="2022-09-05T00:00:00"/>
    <d v="2022-09-23T00:00:00"/>
    <x v="7"/>
    <n v="9"/>
    <n v="60"/>
    <n v="13.235929037012342"/>
    <n v="7.277381992063475"/>
    <n v="436.64291952380847"/>
    <n v="794.15574222074054"/>
    <n v="-357.51282269693206"/>
    <n v="-19.522737721818281"/>
    <n v="-377.03556041875032"/>
    <n v="0"/>
    <n v="0"/>
    <n v="0"/>
    <n v="-377.03556041875032"/>
  </r>
  <r>
    <x v="8"/>
    <d v="2022-10-05T00:00:00"/>
    <d v="2022-10-25T00:00:00"/>
    <x v="7"/>
    <n v="9"/>
    <n v="58"/>
    <n v="13.235929037012342"/>
    <n v="7.277381992063475"/>
    <n v="422.08815553968157"/>
    <n v="767.68388414671585"/>
    <n v="-345.59572860703429"/>
    <n v="-18.871979797757671"/>
    <n v="-364.46770840479195"/>
    <n v="0"/>
    <n v="0"/>
    <n v="0"/>
    <n v="-364.46770840479195"/>
  </r>
  <r>
    <x v="9"/>
    <d v="2022-11-03T00:00:00"/>
    <d v="2022-11-23T00:00:00"/>
    <x v="7"/>
    <n v="9"/>
    <n v="56"/>
    <n v="13.235929037012342"/>
    <n v="7.277381992063475"/>
    <n v="407.5333915555546"/>
    <n v="741.21202607269117"/>
    <n v="-333.67863451713657"/>
    <n v="-18.221221873697061"/>
    <n v="-351.89985639083363"/>
    <n v="0"/>
    <n v="0"/>
    <n v="0"/>
    <n v="-351.89985639083363"/>
  </r>
  <r>
    <x v="10"/>
    <d v="2022-12-05T00:00:00"/>
    <d v="2022-12-23T00:00:00"/>
    <x v="7"/>
    <n v="9"/>
    <n v="59"/>
    <n v="13.235929037012342"/>
    <n v="7.277381992063475"/>
    <n v="429.36553753174502"/>
    <n v="780.91981318372814"/>
    <n v="-351.55427565198312"/>
    <n v="-19.197358759787978"/>
    <n v="-370.75163441177108"/>
    <n v="0"/>
    <n v="0"/>
    <n v="0"/>
    <n v="-370.75163441177108"/>
  </r>
  <r>
    <x v="11"/>
    <d v="2023-01-04T00:00:00"/>
    <d v="2023-01-24T00:00:00"/>
    <x v="7"/>
    <n v="9"/>
    <n v="58"/>
    <n v="13.235929037012342"/>
    <n v="7.277381992063475"/>
    <n v="422.08815553968157"/>
    <n v="767.68388414671585"/>
    <n v="-345.59572860703429"/>
    <n v="-18.871979797757671"/>
    <n v="-364.46770840479195"/>
    <n v="0"/>
    <n v="0"/>
    <n v="0"/>
    <n v="-364.46770840479195"/>
  </r>
  <r>
    <x v="0"/>
    <d v="2022-02-03T00:00:00"/>
    <d v="2022-02-23T00:00:00"/>
    <x v="8"/>
    <n v="9"/>
    <n v="1045"/>
    <n v="13.235929037012342"/>
    <n v="7.277381992063475"/>
    <n v="7604.8641817063317"/>
    <n v="13831.545843677897"/>
    <n v="-6226.6816619715655"/>
    <n v="-340.02101532166841"/>
    <n v="-6566.702677293234"/>
    <n v="0"/>
    <n v="0"/>
    <n v="0"/>
    <n v="-6566.702677293234"/>
  </r>
  <r>
    <x v="1"/>
    <d v="2022-03-03T00:00:00"/>
    <d v="2022-03-22T00:00:00"/>
    <x v="8"/>
    <n v="9"/>
    <n v="1114"/>
    <n v="13.235929037012342"/>
    <n v="7.277381992063475"/>
    <n v="8107.0035391587107"/>
    <n v="14744.824947231749"/>
    <n v="-6637.8214080730386"/>
    <n v="-362.47216370175943"/>
    <n v="-7000.2935717747978"/>
    <n v="0"/>
    <n v="0"/>
    <n v="0"/>
    <n v="-7000.2935717747978"/>
  </r>
  <r>
    <x v="2"/>
    <d v="2022-04-05T00:00:00"/>
    <d v="2022-04-25T00:00:00"/>
    <x v="8"/>
    <n v="9"/>
    <n v="977"/>
    <n v="13.235929037012342"/>
    <n v="7.277381992063475"/>
    <n v="7110.0022062460148"/>
    <n v="12931.502669161058"/>
    <n v="-5821.5004629150435"/>
    <n v="-317.8952459036077"/>
    <n v="-6139.3957088186507"/>
    <n v="0"/>
    <n v="0"/>
    <n v="0"/>
    <n v="-6139.3957088186507"/>
  </r>
  <r>
    <x v="3"/>
    <d v="2022-05-04T00:00:00"/>
    <d v="2022-05-24T00:00:00"/>
    <x v="8"/>
    <n v="9"/>
    <n v="539"/>
    <n v="13.235929037012342"/>
    <n v="7.277381992063475"/>
    <n v="3922.5088937222131"/>
    <n v="7134.1657509496526"/>
    <n v="-3211.6568572274396"/>
    <n v="-175.37926053433424"/>
    <n v="-3387.0361177617738"/>
    <n v="0"/>
    <n v="0"/>
    <n v="0"/>
    <n v="-3387.0361177617738"/>
  </r>
  <r>
    <x v="4"/>
    <d v="2022-06-03T00:00:00"/>
    <d v="2022-06-23T00:00:00"/>
    <x v="8"/>
    <n v="9"/>
    <n v="754"/>
    <n v="13.235929037012342"/>
    <n v="7.277381992063475"/>
    <n v="5487.1460220158606"/>
    <n v="9979.8904939073054"/>
    <n v="-4492.7444718914448"/>
    <n v="-245.33573737084976"/>
    <n v="-4738.0802092622944"/>
    <n v="0"/>
    <n v="0"/>
    <n v="0"/>
    <n v="-4738.0802092622944"/>
  </r>
  <r>
    <x v="5"/>
    <d v="2022-07-05T00:00:00"/>
    <d v="2022-07-25T00:00:00"/>
    <x v="8"/>
    <n v="9"/>
    <n v="946"/>
    <n v="13.235929037012342"/>
    <n v="7.277381992063475"/>
    <n v="6884.4033644920473"/>
    <n v="12521.188869013675"/>
    <n v="-5636.7855045216274"/>
    <n v="-307.80849808066824"/>
    <n v="-5944.5940026022954"/>
    <n v="0"/>
    <n v="0"/>
    <n v="0"/>
    <n v="-5944.5940026022954"/>
  </r>
  <r>
    <x v="6"/>
    <d v="2022-08-03T00:00:00"/>
    <d v="2022-08-23T00:00:00"/>
    <x v="8"/>
    <n v="9"/>
    <n v="979"/>
    <n v="13.235929037012342"/>
    <n v="7.277381992063475"/>
    <n v="7124.5569702301418"/>
    <n v="12957.974527235083"/>
    <n v="-5833.417557004941"/>
    <n v="-318.5460038276683"/>
    <n v="-6151.9635608326098"/>
    <n v="0"/>
    <n v="0"/>
    <n v="0"/>
    <n v="-6151.9635608326098"/>
  </r>
  <r>
    <x v="7"/>
    <d v="2022-09-05T00:00:00"/>
    <d v="2022-09-23T00:00:00"/>
    <x v="8"/>
    <n v="9"/>
    <n v="973"/>
    <n v="13.235929037012342"/>
    <n v="7.277381992063475"/>
    <n v="7080.8926782777608"/>
    <n v="12878.558953013009"/>
    <n v="-5797.6662747352484"/>
    <n v="-316.59373005548645"/>
    <n v="-6114.2600047907345"/>
    <n v="0"/>
    <n v="0"/>
    <n v="0"/>
    <n v="-6114.2600047907345"/>
  </r>
  <r>
    <x v="8"/>
    <d v="2022-10-05T00:00:00"/>
    <d v="2022-10-25T00:00:00"/>
    <x v="8"/>
    <n v="9"/>
    <n v="847"/>
    <n v="13.235929037012342"/>
    <n v="7.277381992063475"/>
    <n v="6163.942547277763"/>
    <n v="11210.831894349454"/>
    <n v="-5046.8893470716912"/>
    <n v="-275.59598083966807"/>
    <n v="-5322.4853279113595"/>
    <n v="0"/>
    <n v="0"/>
    <n v="0"/>
    <n v="-5322.4853279113595"/>
  </r>
  <r>
    <x v="9"/>
    <d v="2022-11-03T00:00:00"/>
    <d v="2022-11-23T00:00:00"/>
    <x v="8"/>
    <n v="9"/>
    <n v="609"/>
    <n v="13.235929037012342"/>
    <n v="7.277381992063475"/>
    <n v="4431.9256331666566"/>
    <n v="8060.6807835405161"/>
    <n v="-3628.7551503738596"/>
    <n v="-198.15578787645558"/>
    <n v="-3826.9109382503152"/>
    <n v="0"/>
    <n v="0"/>
    <n v="0"/>
    <n v="-3826.9109382503152"/>
  </r>
  <r>
    <x v="10"/>
    <d v="2022-12-05T00:00:00"/>
    <d v="2022-12-23T00:00:00"/>
    <x v="8"/>
    <n v="9"/>
    <n v="807"/>
    <n v="13.235929037012342"/>
    <n v="7.277381992063475"/>
    <n v="5872.8472675952244"/>
    <n v="10681.394732868961"/>
    <n v="-4808.5474652737366"/>
    <n v="-262.58082235845586"/>
    <n v="-5071.128287632193"/>
    <n v="0"/>
    <n v="0"/>
    <n v="0"/>
    <n v="-5071.128287632193"/>
  </r>
  <r>
    <x v="11"/>
    <d v="2023-01-04T00:00:00"/>
    <d v="2023-01-24T00:00:00"/>
    <x v="8"/>
    <n v="9"/>
    <n v="1434"/>
    <n v="13.235929037012342"/>
    <n v="7.277381992063475"/>
    <n v="10435.765776619022"/>
    <n v="18980.3222390757"/>
    <n v="-8544.5564624566778"/>
    <n v="-466.59343155145689"/>
    <n v="-9011.1498940081347"/>
    <n v="0"/>
    <n v="0"/>
    <n v="0"/>
    <n v="-9011.1498940081347"/>
  </r>
  <r>
    <x v="0"/>
    <d v="2022-02-03T00:00:00"/>
    <d v="2022-02-23T00:00:00"/>
    <x v="9"/>
    <n v="9"/>
    <n v="8"/>
    <n v="13.235929037012342"/>
    <n v="7.277381992063475"/>
    <n v="58.2190559365078"/>
    <n v="105.88743229609874"/>
    <n v="-47.668376359590937"/>
    <n v="-2.6030316962424376"/>
    <n v="-50.271408055833376"/>
    <n v="0"/>
    <n v="0"/>
    <n v="0"/>
    <n v="-50.271408055833376"/>
  </r>
  <r>
    <x v="1"/>
    <d v="2022-03-03T00:00:00"/>
    <d v="2022-03-22T00:00:00"/>
    <x v="9"/>
    <n v="9"/>
    <n v="7"/>
    <n v="13.235929037012342"/>
    <n v="7.277381992063475"/>
    <n v="50.941673944444325"/>
    <n v="92.651503259086397"/>
    <n v="-41.709829314642072"/>
    <n v="-2.2776527342121327"/>
    <n v="-43.987482048854204"/>
    <n v="0"/>
    <n v="0"/>
    <n v="0"/>
    <n v="-43.987482048854204"/>
  </r>
  <r>
    <x v="2"/>
    <d v="2022-04-05T00:00:00"/>
    <d v="2022-04-25T00:00:00"/>
    <x v="9"/>
    <n v="9"/>
    <n v="5"/>
    <n v="13.235929037012342"/>
    <n v="7.277381992063475"/>
    <n v="36.386909960317375"/>
    <n v="66.179645185061716"/>
    <n v="-29.792735224744341"/>
    <n v="-1.6268948101515235"/>
    <n v="-31.419630034895864"/>
    <n v="0"/>
    <n v="0"/>
    <n v="0"/>
    <n v="-31.419630034895864"/>
  </r>
  <r>
    <x v="3"/>
    <d v="2022-05-04T00:00:00"/>
    <d v="2022-05-24T00:00:00"/>
    <x v="9"/>
    <n v="9"/>
    <n v="7"/>
    <n v="13.235929037012342"/>
    <n v="7.277381992063475"/>
    <n v="50.941673944444325"/>
    <n v="92.651503259086397"/>
    <n v="-41.709829314642072"/>
    <n v="-2.2776527342121327"/>
    <n v="-43.987482048854204"/>
    <n v="0"/>
    <n v="0"/>
    <n v="0"/>
    <n v="-43.987482048854204"/>
  </r>
  <r>
    <x v="4"/>
    <d v="2022-06-03T00:00:00"/>
    <d v="2022-06-23T00:00:00"/>
    <x v="9"/>
    <n v="9"/>
    <n v="10"/>
    <n v="13.235929037012342"/>
    <n v="7.277381992063475"/>
    <n v="72.77381992063475"/>
    <n v="132.35929037012343"/>
    <n v="-59.585470449488682"/>
    <n v="-3.253789620303047"/>
    <n v="-62.839260069791727"/>
    <n v="0"/>
    <n v="0"/>
    <n v="0"/>
    <n v="-62.839260069791727"/>
  </r>
  <r>
    <x v="5"/>
    <d v="2022-07-05T00:00:00"/>
    <d v="2022-07-25T00:00:00"/>
    <x v="9"/>
    <n v="9"/>
    <n v="14"/>
    <n v="13.235929037012342"/>
    <n v="7.277381992063475"/>
    <n v="101.88334788888865"/>
    <n v="185.30300651817279"/>
    <n v="-83.419658629284143"/>
    <n v="-4.5553054684242653"/>
    <n v="-87.974964097708408"/>
    <n v="0"/>
    <n v="0"/>
    <n v="0"/>
    <n v="-87.974964097708408"/>
  </r>
  <r>
    <x v="6"/>
    <d v="2022-08-03T00:00:00"/>
    <d v="2022-08-23T00:00:00"/>
    <x v="9"/>
    <n v="9"/>
    <n v="18"/>
    <n v="13.235929037012342"/>
    <n v="7.277381992063475"/>
    <n v="130.99287585714256"/>
    <n v="238.24672266622215"/>
    <n v="-107.25384680907959"/>
    <n v="-5.856821316545485"/>
    <n v="-113.11066812562507"/>
    <n v="0"/>
    <n v="0"/>
    <n v="0"/>
    <n v="-113.11066812562507"/>
  </r>
  <r>
    <x v="7"/>
    <d v="2022-09-05T00:00:00"/>
    <d v="2022-09-23T00:00:00"/>
    <x v="9"/>
    <n v="9"/>
    <n v="16"/>
    <n v="13.235929037012342"/>
    <n v="7.277381992063475"/>
    <n v="116.4381118730156"/>
    <n v="211.77486459219747"/>
    <n v="-95.336752719181874"/>
    <n v="-5.2060633924848752"/>
    <n v="-100.54281611166675"/>
    <n v="0"/>
    <n v="0"/>
    <n v="0"/>
    <n v="-100.54281611166675"/>
  </r>
  <r>
    <x v="8"/>
    <d v="2022-10-05T00:00:00"/>
    <d v="2022-10-25T00:00:00"/>
    <x v="9"/>
    <n v="9"/>
    <n v="9"/>
    <n v="13.235929037012342"/>
    <n v="7.277381992063475"/>
    <n v="65.496437928571282"/>
    <n v="119.12336133311108"/>
    <n v="-53.626923404539795"/>
    <n v="-2.9284106582727425"/>
    <n v="-56.555334062812534"/>
    <n v="0"/>
    <n v="0"/>
    <n v="0"/>
    <n v="-56.555334062812534"/>
  </r>
  <r>
    <x v="9"/>
    <d v="2022-11-03T00:00:00"/>
    <d v="2022-11-23T00:00:00"/>
    <x v="9"/>
    <n v="9"/>
    <n v="6"/>
    <n v="13.235929037012342"/>
    <n v="7.277381992063475"/>
    <n v="43.66429195238085"/>
    <n v="79.415574222074056"/>
    <n v="-35.751282269693206"/>
    <n v="-1.9522737721818282"/>
    <n v="-37.703556041875032"/>
    <n v="0"/>
    <n v="0"/>
    <n v="0"/>
    <n v="-37.703556041875032"/>
  </r>
  <r>
    <x v="10"/>
    <d v="2022-12-05T00:00:00"/>
    <d v="2022-12-23T00:00:00"/>
    <x v="9"/>
    <n v="9"/>
    <n v="6"/>
    <n v="13.235929037012342"/>
    <n v="7.277381992063475"/>
    <n v="43.66429195238085"/>
    <n v="79.415574222074056"/>
    <n v="-35.751282269693206"/>
    <n v="-1.9522737721818282"/>
    <n v="-37.703556041875032"/>
    <n v="0"/>
    <n v="0"/>
    <n v="0"/>
    <n v="-37.703556041875032"/>
  </r>
  <r>
    <x v="11"/>
    <d v="2023-01-04T00:00:00"/>
    <d v="2023-01-24T00:00:00"/>
    <x v="9"/>
    <n v="9"/>
    <n v="8"/>
    <n v="13.235929037012342"/>
    <n v="7.277381992063475"/>
    <n v="58.2190559365078"/>
    <n v="105.88743229609874"/>
    <n v="-47.668376359590937"/>
    <n v="-2.6030316962424376"/>
    <n v="-50.271408055833376"/>
    <n v="0"/>
    <n v="0"/>
    <n v="0"/>
    <n v="-50.271408055833376"/>
  </r>
  <r>
    <x v="0"/>
    <d v="2022-02-03T00:00:00"/>
    <d v="2022-02-23T00:00:00"/>
    <x v="10"/>
    <n v="9"/>
    <n v="3"/>
    <n v="13.235929037012342"/>
    <n v="7.277381992063475"/>
    <n v="21.832145976190425"/>
    <n v="39.707787111037028"/>
    <n v="-17.875641134846603"/>
    <n v="-0.97613688609091409"/>
    <n v="-18.851778020937516"/>
    <n v="0"/>
    <n v="0"/>
    <n v="0"/>
    <n v="-18.851778020937516"/>
  </r>
  <r>
    <x v="1"/>
    <d v="2022-03-03T00:00:00"/>
    <d v="2022-03-22T00:00:00"/>
    <x v="10"/>
    <n v="9"/>
    <n v="2"/>
    <n v="13.235929037012342"/>
    <n v="7.277381992063475"/>
    <n v="14.55476398412695"/>
    <n v="26.471858074024684"/>
    <n v="-11.917094089897734"/>
    <n v="-0.65075792406060939"/>
    <n v="-12.567852013958344"/>
    <n v="0"/>
    <n v="0"/>
    <n v="0"/>
    <n v="-12.567852013958344"/>
  </r>
  <r>
    <x v="2"/>
    <d v="2022-04-05T00:00:00"/>
    <d v="2022-04-25T00:00:00"/>
    <x v="10"/>
    <n v="9"/>
    <n v="3"/>
    <n v="13.235929037012342"/>
    <n v="7.277381992063475"/>
    <n v="21.832145976190425"/>
    <n v="39.707787111037028"/>
    <n v="-17.875641134846603"/>
    <n v="-0.97613688609091409"/>
    <n v="-18.851778020937516"/>
    <n v="0"/>
    <n v="0"/>
    <n v="0"/>
    <n v="-18.851778020937516"/>
  </r>
  <r>
    <x v="3"/>
    <d v="2022-05-04T00:00:00"/>
    <d v="2022-05-24T00:00:00"/>
    <x v="10"/>
    <n v="9"/>
    <n v="2"/>
    <n v="13.235929037012342"/>
    <n v="7.277381992063475"/>
    <n v="14.55476398412695"/>
    <n v="26.471858074024684"/>
    <n v="-11.917094089897734"/>
    <n v="-0.65075792406060939"/>
    <n v="-12.567852013958344"/>
    <n v="0"/>
    <n v="0"/>
    <n v="0"/>
    <n v="-12.567852013958344"/>
  </r>
  <r>
    <x v="4"/>
    <d v="2022-06-03T00:00:00"/>
    <d v="2022-06-23T00:00:00"/>
    <x v="10"/>
    <n v="9"/>
    <n v="3"/>
    <n v="13.235929037012342"/>
    <n v="7.277381992063475"/>
    <n v="21.832145976190425"/>
    <n v="39.707787111037028"/>
    <n v="-17.875641134846603"/>
    <n v="-0.97613688609091409"/>
    <n v="-18.851778020937516"/>
    <n v="0"/>
    <n v="0"/>
    <n v="0"/>
    <n v="-18.851778020937516"/>
  </r>
  <r>
    <x v="5"/>
    <d v="2022-07-05T00:00:00"/>
    <d v="2022-07-25T00:00:00"/>
    <x v="10"/>
    <n v="9"/>
    <n v="5"/>
    <n v="13.235929037012342"/>
    <n v="7.277381992063475"/>
    <n v="36.386909960317375"/>
    <n v="66.179645185061716"/>
    <n v="-29.792735224744341"/>
    <n v="-1.6268948101515235"/>
    <n v="-31.419630034895864"/>
    <n v="0"/>
    <n v="0"/>
    <n v="0"/>
    <n v="-31.419630034895864"/>
  </r>
  <r>
    <x v="6"/>
    <d v="2022-08-03T00:00:00"/>
    <d v="2022-08-23T00:00:00"/>
    <x v="10"/>
    <n v="9"/>
    <n v="6"/>
    <n v="13.235929037012342"/>
    <n v="7.277381992063475"/>
    <n v="43.66429195238085"/>
    <n v="79.415574222074056"/>
    <n v="-35.751282269693206"/>
    <n v="-1.9522737721818282"/>
    <n v="-37.703556041875032"/>
    <n v="0"/>
    <n v="0"/>
    <n v="0"/>
    <n v="-37.703556041875032"/>
  </r>
  <r>
    <x v="7"/>
    <d v="2022-09-05T00:00:00"/>
    <d v="2022-09-23T00:00:00"/>
    <x v="10"/>
    <n v="9"/>
    <n v="6"/>
    <n v="13.235929037012342"/>
    <n v="7.277381992063475"/>
    <n v="43.66429195238085"/>
    <n v="79.415574222074056"/>
    <n v="-35.751282269693206"/>
    <n v="-1.9522737721818282"/>
    <n v="-37.703556041875032"/>
    <n v="0"/>
    <n v="0"/>
    <n v="0"/>
    <n v="-37.703556041875032"/>
  </r>
  <r>
    <x v="8"/>
    <d v="2022-10-05T00:00:00"/>
    <d v="2022-10-25T00:00:00"/>
    <x v="10"/>
    <n v="9"/>
    <n v="3"/>
    <n v="13.235929037012342"/>
    <n v="7.277381992063475"/>
    <n v="21.832145976190425"/>
    <n v="39.707787111037028"/>
    <n v="-17.875641134846603"/>
    <n v="-0.97613688609091409"/>
    <n v="-18.851778020937516"/>
    <n v="0"/>
    <n v="0"/>
    <n v="0"/>
    <n v="-18.851778020937516"/>
  </r>
  <r>
    <x v="9"/>
    <d v="2022-11-03T00:00:00"/>
    <d v="2022-11-23T00:00:00"/>
    <x v="10"/>
    <n v="9"/>
    <n v="2"/>
    <n v="13.235929037012342"/>
    <n v="7.277381992063475"/>
    <n v="14.55476398412695"/>
    <n v="26.471858074024684"/>
    <n v="-11.917094089897734"/>
    <n v="-0.65075792406060939"/>
    <n v="-12.567852013958344"/>
    <n v="0"/>
    <n v="0"/>
    <n v="0"/>
    <n v="-12.567852013958344"/>
  </r>
  <r>
    <x v="10"/>
    <d v="2022-12-05T00:00:00"/>
    <d v="2022-12-23T00:00:00"/>
    <x v="10"/>
    <n v="9"/>
    <n v="1"/>
    <n v="13.235929037012342"/>
    <n v="7.277381992063475"/>
    <n v="7.277381992063475"/>
    <n v="13.235929037012342"/>
    <n v="-5.9585470449488671"/>
    <n v="-0.3253789620303047"/>
    <n v="-6.283926006979172"/>
    <n v="0"/>
    <n v="0"/>
    <n v="0"/>
    <n v="-6.283926006979172"/>
  </r>
  <r>
    <x v="11"/>
    <d v="2023-01-04T00:00:00"/>
    <d v="2023-01-24T00:00:00"/>
    <x v="10"/>
    <n v="9"/>
    <n v="4"/>
    <n v="13.235929037012342"/>
    <n v="7.277381992063475"/>
    <n v="29.1095279682539"/>
    <n v="52.943716148049369"/>
    <n v="-23.834188179795468"/>
    <n v="-1.3015158481212188"/>
    <n v="-25.135704027916688"/>
    <n v="0"/>
    <n v="0"/>
    <n v="0"/>
    <n v="-25.135704027916688"/>
  </r>
  <r>
    <x v="0"/>
    <d v="2022-02-03T00:00:00"/>
    <d v="2022-02-23T00:00:00"/>
    <x v="11"/>
    <n v="9"/>
    <n v="121"/>
    <n v="13.235929037012342"/>
    <n v="7.277381992063475"/>
    <n v="880.56322103968046"/>
    <n v="1601.5474134784934"/>
    <n v="-720.9841924388129"/>
    <n v="-39.370854405666869"/>
    <n v="-760.35504684447972"/>
    <n v="0"/>
    <n v="0"/>
    <n v="0"/>
    <n v="-760.35504684447972"/>
  </r>
  <r>
    <x v="1"/>
    <d v="2022-03-03T00:00:00"/>
    <d v="2022-03-22T00:00:00"/>
    <x v="11"/>
    <n v="9"/>
    <n v="109"/>
    <n v="13.235929037012342"/>
    <n v="7.277381992063475"/>
    <n v="793.23463713491878"/>
    <n v="1442.7162650343453"/>
    <n v="-649.48162789942648"/>
    <n v="-35.46630686130321"/>
    <n v="-684.94793476072971"/>
    <n v="0"/>
    <n v="0"/>
    <n v="0"/>
    <n v="-684.94793476072971"/>
  </r>
  <r>
    <x v="2"/>
    <d v="2022-04-05T00:00:00"/>
    <d v="2022-04-25T00:00:00"/>
    <x v="11"/>
    <n v="9"/>
    <n v="95"/>
    <n v="13.235929037012342"/>
    <n v="7.277381992063475"/>
    <n v="691.35128924603009"/>
    <n v="1257.4132585161724"/>
    <n v="-566.0619692701423"/>
    <n v="-30.911001392878948"/>
    <n v="-596.97297066302121"/>
    <n v="0"/>
    <n v="0"/>
    <n v="0"/>
    <n v="-596.97297066302121"/>
  </r>
  <r>
    <x v="3"/>
    <d v="2022-05-04T00:00:00"/>
    <d v="2022-05-24T00:00:00"/>
    <x v="11"/>
    <n v="9"/>
    <n v="93"/>
    <n v="13.235929037012342"/>
    <n v="7.277381992063475"/>
    <n v="676.79652526190318"/>
    <n v="1230.9414004421478"/>
    <n v="-554.14487518024464"/>
    <n v="-30.260243468818338"/>
    <n v="-584.40511864906296"/>
    <n v="0"/>
    <n v="0"/>
    <n v="0"/>
    <n v="-584.40511864906296"/>
  </r>
  <r>
    <x v="4"/>
    <d v="2022-06-03T00:00:00"/>
    <d v="2022-06-23T00:00:00"/>
    <x v="11"/>
    <n v="9"/>
    <n v="125"/>
    <n v="13.235929037012342"/>
    <n v="7.277381992063475"/>
    <n v="909.67274900793439"/>
    <n v="1654.4911296265427"/>
    <n v="-744.81838061860833"/>
    <n v="-40.672370253788081"/>
    <n v="-785.49075087239646"/>
    <n v="0"/>
    <n v="0"/>
    <n v="0"/>
    <n v="-785.49075087239646"/>
  </r>
  <r>
    <x v="5"/>
    <d v="2022-07-05T00:00:00"/>
    <d v="2022-07-25T00:00:00"/>
    <x v="11"/>
    <n v="9"/>
    <n v="159"/>
    <n v="13.235929037012342"/>
    <n v="7.277381992063475"/>
    <n v="1157.1037367380925"/>
    <n v="2104.5127168849622"/>
    <n v="-947.40898014686968"/>
    <n v="-51.735254962818452"/>
    <n v="-999.14423510968811"/>
    <n v="0"/>
    <n v="0"/>
    <n v="0"/>
    <n v="-999.14423510968811"/>
  </r>
  <r>
    <x v="6"/>
    <d v="2022-08-03T00:00:00"/>
    <d v="2022-08-23T00:00:00"/>
    <x v="11"/>
    <n v="9"/>
    <n v="176"/>
    <n v="13.235929037012342"/>
    <n v="7.277381992063475"/>
    <n v="1280.8192306031715"/>
    <n v="2329.5235105141724"/>
    <n v="-1048.7042799110009"/>
    <n v="-57.266697317333623"/>
    <n v="-1105.9709772283345"/>
    <n v="0"/>
    <n v="0"/>
    <n v="0"/>
    <n v="-1105.9709772283345"/>
  </r>
  <r>
    <x v="7"/>
    <d v="2022-09-05T00:00:00"/>
    <d v="2022-09-23T00:00:00"/>
    <x v="11"/>
    <n v="9"/>
    <n v="167"/>
    <n v="13.235929037012342"/>
    <n v="7.277381992063475"/>
    <n v="1215.3227926746004"/>
    <n v="2210.4001491810614"/>
    <n v="-995.077356506461"/>
    <n v="-54.338286659060884"/>
    <n v="-1049.4156431655219"/>
    <n v="0"/>
    <n v="0"/>
    <n v="0"/>
    <n v="-1049.4156431655219"/>
  </r>
  <r>
    <x v="8"/>
    <d v="2022-10-05T00:00:00"/>
    <d v="2022-10-25T00:00:00"/>
    <x v="11"/>
    <n v="9"/>
    <n v="153"/>
    <n v="13.235929037012342"/>
    <n v="7.277381992063475"/>
    <n v="1113.4394447857117"/>
    <n v="2025.0971426628882"/>
    <n v="-911.65769787717659"/>
    <n v="-49.782981190636619"/>
    <n v="-961.44067906781322"/>
    <n v="0"/>
    <n v="0"/>
    <n v="0"/>
    <n v="-961.44067906781322"/>
  </r>
  <r>
    <x v="9"/>
    <d v="2022-11-03T00:00:00"/>
    <d v="2022-11-23T00:00:00"/>
    <x v="11"/>
    <n v="9"/>
    <n v="104"/>
    <n v="13.235929037012342"/>
    <n v="7.277381992063475"/>
    <n v="756.84772717460146"/>
    <n v="1376.5366198492836"/>
    <n v="-619.68889267468217"/>
    <n v="-33.83941205115169"/>
    <n v="-653.52830472583389"/>
    <n v="0"/>
    <n v="0"/>
    <n v="0"/>
    <n v="-653.52830472583389"/>
  </r>
  <r>
    <x v="10"/>
    <d v="2022-12-05T00:00:00"/>
    <d v="2022-12-23T00:00:00"/>
    <x v="11"/>
    <n v="9"/>
    <n v="104"/>
    <n v="13.235929037012342"/>
    <n v="7.277381992063475"/>
    <n v="756.84772717460146"/>
    <n v="1376.5366198492836"/>
    <n v="-619.68889267468217"/>
    <n v="-33.83941205115169"/>
    <n v="-653.52830472583389"/>
    <n v="0"/>
    <n v="0"/>
    <n v="0"/>
    <n v="-653.52830472583389"/>
  </r>
  <r>
    <x v="11"/>
    <d v="2023-01-04T00:00:00"/>
    <d v="2023-01-24T00:00:00"/>
    <x v="11"/>
    <n v="9"/>
    <n v="139"/>
    <n v="13.235929037012342"/>
    <n v="7.277381992063475"/>
    <n v="1011.5560968968231"/>
    <n v="1839.7941361447156"/>
    <n v="-828.23803924789252"/>
    <n v="-45.227675722212354"/>
    <n v="-873.46571497010484"/>
    <n v="0"/>
    <n v="0"/>
    <n v="0"/>
    <n v="-873.46571497010484"/>
  </r>
  <r>
    <x v="0"/>
    <d v="2022-02-03T00:00:00"/>
    <d v="2022-02-23T00:00:00"/>
    <x v="12"/>
    <n v="9"/>
    <n v="8"/>
    <n v="13.235929037012342"/>
    <n v="7.277381992063475"/>
    <n v="58.2190559365078"/>
    <n v="105.88743229609874"/>
    <n v="-47.668376359590937"/>
    <n v="-2.6030316962424376"/>
    <n v="-50.271408055833376"/>
    <n v="0"/>
    <n v="0"/>
    <n v="0"/>
    <n v="-50.271408055833376"/>
  </r>
  <r>
    <x v="1"/>
    <d v="2022-03-03T00:00:00"/>
    <d v="2022-03-22T00:00:00"/>
    <x v="12"/>
    <n v="9"/>
    <n v="11"/>
    <n v="13.235929037012342"/>
    <n v="7.277381992063475"/>
    <n v="80.051201912698218"/>
    <n v="145.59521940713577"/>
    <n v="-65.544017494437554"/>
    <n v="-3.5791685823333514"/>
    <n v="-69.123186076770907"/>
    <n v="0"/>
    <n v="0"/>
    <n v="0"/>
    <n v="-69.123186076770907"/>
  </r>
  <r>
    <x v="2"/>
    <d v="2022-04-05T00:00:00"/>
    <d v="2022-04-25T00:00:00"/>
    <x v="12"/>
    <n v="9"/>
    <n v="9"/>
    <n v="13.235929037012342"/>
    <n v="7.277381992063475"/>
    <n v="65.496437928571282"/>
    <n v="119.12336133311108"/>
    <n v="-53.626923404539795"/>
    <n v="-2.9284106582727425"/>
    <n v="-56.555334062812534"/>
    <n v="0"/>
    <n v="0"/>
    <n v="0"/>
    <n v="-56.555334062812534"/>
  </r>
  <r>
    <x v="3"/>
    <d v="2022-05-04T00:00:00"/>
    <d v="2022-05-24T00:00:00"/>
    <x v="12"/>
    <n v="9"/>
    <n v="11"/>
    <n v="13.235929037012342"/>
    <n v="7.277381992063475"/>
    <n v="80.051201912698218"/>
    <n v="145.59521940713577"/>
    <n v="-65.544017494437554"/>
    <n v="-3.5791685823333514"/>
    <n v="-69.123186076770907"/>
    <n v="0"/>
    <n v="0"/>
    <n v="0"/>
    <n v="-69.123186076770907"/>
  </r>
  <r>
    <x v="4"/>
    <d v="2022-06-03T00:00:00"/>
    <d v="2022-06-23T00:00:00"/>
    <x v="12"/>
    <n v="9"/>
    <n v="11"/>
    <n v="13.235929037012342"/>
    <n v="7.277381992063475"/>
    <n v="80.051201912698218"/>
    <n v="145.59521940713577"/>
    <n v="-65.544017494437554"/>
    <n v="-3.5791685823333514"/>
    <n v="-69.123186076770907"/>
    <n v="0"/>
    <n v="0"/>
    <n v="0"/>
    <n v="-69.123186076770907"/>
  </r>
  <r>
    <x v="5"/>
    <d v="2022-07-05T00:00:00"/>
    <d v="2022-07-25T00:00:00"/>
    <x v="12"/>
    <n v="9"/>
    <n v="14"/>
    <n v="13.235929037012342"/>
    <n v="7.277381992063475"/>
    <n v="101.88334788888865"/>
    <n v="185.30300651817279"/>
    <n v="-83.419658629284143"/>
    <n v="-4.5553054684242653"/>
    <n v="-87.974964097708408"/>
    <n v="0"/>
    <n v="0"/>
    <n v="0"/>
    <n v="-87.974964097708408"/>
  </r>
  <r>
    <x v="6"/>
    <d v="2022-08-03T00:00:00"/>
    <d v="2022-08-23T00:00:00"/>
    <x v="12"/>
    <n v="9"/>
    <n v="13"/>
    <n v="13.235929037012342"/>
    <n v="7.277381992063475"/>
    <n v="94.605965896825182"/>
    <n v="172.06707748116045"/>
    <n v="-77.461111584335271"/>
    <n v="-4.2299265063939613"/>
    <n v="-81.691038090729236"/>
    <n v="0"/>
    <n v="0"/>
    <n v="0"/>
    <n v="-81.691038090729236"/>
  </r>
  <r>
    <x v="7"/>
    <d v="2022-09-05T00:00:00"/>
    <d v="2022-09-23T00:00:00"/>
    <x v="12"/>
    <n v="9"/>
    <n v="13"/>
    <n v="13.235929037012342"/>
    <n v="7.277381992063475"/>
    <n v="94.605965896825182"/>
    <n v="172.06707748116045"/>
    <n v="-77.461111584335271"/>
    <n v="-4.2299265063939613"/>
    <n v="-81.691038090729236"/>
    <n v="0"/>
    <n v="0"/>
    <n v="0"/>
    <n v="-81.691038090729236"/>
  </r>
  <r>
    <x v="8"/>
    <d v="2022-10-05T00:00:00"/>
    <d v="2022-10-25T00:00:00"/>
    <x v="12"/>
    <n v="9"/>
    <n v="13"/>
    <n v="13.235929037012342"/>
    <n v="7.277381992063475"/>
    <n v="94.605965896825182"/>
    <n v="172.06707748116045"/>
    <n v="-77.461111584335271"/>
    <n v="-4.2299265063939613"/>
    <n v="-81.691038090729236"/>
    <n v="0"/>
    <n v="0"/>
    <n v="0"/>
    <n v="-81.691038090729236"/>
  </r>
  <r>
    <x v="9"/>
    <d v="2022-11-03T00:00:00"/>
    <d v="2022-11-23T00:00:00"/>
    <x v="12"/>
    <n v="9"/>
    <n v="10"/>
    <n v="13.235929037012342"/>
    <n v="7.277381992063475"/>
    <n v="72.77381992063475"/>
    <n v="132.35929037012343"/>
    <n v="-59.585470449488682"/>
    <n v="-3.253789620303047"/>
    <n v="-62.839260069791727"/>
    <n v="0"/>
    <n v="0"/>
    <n v="0"/>
    <n v="-62.839260069791727"/>
  </r>
  <r>
    <x v="10"/>
    <d v="2022-12-05T00:00:00"/>
    <d v="2022-12-23T00:00:00"/>
    <x v="12"/>
    <n v="9"/>
    <n v="9"/>
    <n v="13.235929037012342"/>
    <n v="7.277381992063475"/>
    <n v="65.496437928571282"/>
    <n v="119.12336133311108"/>
    <n v="-53.626923404539795"/>
    <n v="-2.9284106582727425"/>
    <n v="-56.555334062812534"/>
    <n v="0"/>
    <n v="0"/>
    <n v="0"/>
    <n v="-56.555334062812534"/>
  </r>
  <r>
    <x v="11"/>
    <d v="2023-01-04T00:00:00"/>
    <d v="2023-01-24T00:00:00"/>
    <x v="12"/>
    <n v="9"/>
    <n v="9"/>
    <n v="13.235929037012342"/>
    <n v="7.277381992063475"/>
    <n v="65.496437928571282"/>
    <n v="119.12336133311108"/>
    <n v="-53.626923404539795"/>
    <n v="-2.9284106582727425"/>
    <n v="-56.555334062812534"/>
    <n v="0"/>
    <n v="0"/>
    <n v="0"/>
    <n v="-56.555334062812534"/>
  </r>
  <r>
    <x v="0"/>
    <d v="2022-02-03T00:00:00"/>
    <d v="2022-02-23T00:00:00"/>
    <x v="13"/>
    <n v="9"/>
    <n v="22"/>
    <n v="13.235929037012342"/>
    <n v="7.277381992063475"/>
    <n v="160.10240382539644"/>
    <n v="291.19043881427154"/>
    <n v="-131.08803498887511"/>
    <n v="-7.1583371646667029"/>
    <n v="-138.24637215354181"/>
    <n v="0"/>
    <n v="0"/>
    <n v="0"/>
    <n v="-138.24637215354181"/>
  </r>
  <r>
    <x v="1"/>
    <d v="2022-03-03T00:00:00"/>
    <d v="2022-03-22T00:00:00"/>
    <x v="13"/>
    <n v="9"/>
    <n v="22"/>
    <n v="13.235929037012342"/>
    <n v="7.277381992063475"/>
    <n v="160.10240382539644"/>
    <n v="291.19043881427154"/>
    <n v="-131.08803498887511"/>
    <n v="-7.1583371646667029"/>
    <n v="-138.24637215354181"/>
    <n v="0"/>
    <n v="0"/>
    <n v="0"/>
    <n v="-138.24637215354181"/>
  </r>
  <r>
    <x v="2"/>
    <d v="2022-04-05T00:00:00"/>
    <d v="2022-04-25T00:00:00"/>
    <x v="13"/>
    <n v="9"/>
    <n v="18"/>
    <n v="13.235929037012342"/>
    <n v="7.277381992063475"/>
    <n v="130.99287585714256"/>
    <n v="238.24672266622215"/>
    <n v="-107.25384680907959"/>
    <n v="-5.856821316545485"/>
    <n v="-113.11066812562507"/>
    <n v="0"/>
    <n v="0"/>
    <n v="0"/>
    <n v="-113.11066812562507"/>
  </r>
  <r>
    <x v="3"/>
    <d v="2022-05-04T00:00:00"/>
    <d v="2022-05-24T00:00:00"/>
    <x v="13"/>
    <n v="9"/>
    <n v="21"/>
    <n v="13.235929037012342"/>
    <n v="7.277381992063475"/>
    <n v="152.82502183333298"/>
    <n v="277.9545097772592"/>
    <n v="-125.12948794392622"/>
    <n v="-6.8329582026363989"/>
    <n v="-131.96244614656263"/>
    <n v="0"/>
    <n v="0"/>
    <n v="0"/>
    <n v="-131.96244614656263"/>
  </r>
  <r>
    <x v="4"/>
    <d v="2022-06-03T00:00:00"/>
    <d v="2022-06-23T00:00:00"/>
    <x v="13"/>
    <n v="9"/>
    <n v="31"/>
    <n v="13.235929037012342"/>
    <n v="7.277381992063475"/>
    <n v="225.59884175396772"/>
    <n v="410.31380014738261"/>
    <n v="-184.71495839341489"/>
    <n v="-10.086747822939445"/>
    <n v="-194.80170621635435"/>
    <n v="0"/>
    <n v="0"/>
    <n v="0"/>
    <n v="-194.80170621635435"/>
  </r>
  <r>
    <x v="5"/>
    <d v="2022-07-05T00:00:00"/>
    <d v="2022-07-25T00:00:00"/>
    <x v="13"/>
    <n v="9"/>
    <n v="38"/>
    <n v="13.235929037012342"/>
    <n v="7.277381992063475"/>
    <n v="276.54051569841204"/>
    <n v="502.96530340646899"/>
    <n v="-226.42478770805695"/>
    <n v="-12.364400557151578"/>
    <n v="-238.78918826520854"/>
    <n v="0"/>
    <n v="0"/>
    <n v="0"/>
    <n v="-238.78918826520854"/>
  </r>
  <r>
    <x v="6"/>
    <d v="2022-08-03T00:00:00"/>
    <d v="2022-08-23T00:00:00"/>
    <x v="13"/>
    <n v="9"/>
    <n v="40"/>
    <n v="13.235929037012342"/>
    <n v="7.277381992063475"/>
    <n v="291.095279682539"/>
    <n v="529.43716148049373"/>
    <n v="-238.34188179795473"/>
    <n v="-13.015158481212188"/>
    <n v="-251.35704027916691"/>
    <n v="0"/>
    <n v="0"/>
    <n v="0"/>
    <n v="-251.35704027916691"/>
  </r>
  <r>
    <x v="7"/>
    <d v="2022-09-05T00:00:00"/>
    <d v="2022-09-23T00:00:00"/>
    <x v="13"/>
    <n v="9"/>
    <n v="38"/>
    <n v="13.235929037012342"/>
    <n v="7.277381992063475"/>
    <n v="276.54051569841204"/>
    <n v="502.96530340646899"/>
    <n v="-226.42478770805695"/>
    <n v="-12.364400557151578"/>
    <n v="-238.78918826520854"/>
    <n v="0"/>
    <n v="0"/>
    <n v="0"/>
    <n v="-238.78918826520854"/>
  </r>
  <r>
    <x v="8"/>
    <d v="2022-10-05T00:00:00"/>
    <d v="2022-10-25T00:00:00"/>
    <x v="13"/>
    <n v="9"/>
    <n v="35"/>
    <n v="13.235929037012342"/>
    <n v="7.277381992063475"/>
    <n v="254.70836972222162"/>
    <n v="463.25751629543197"/>
    <n v="-208.54914657321035"/>
    <n v="-11.388263671060663"/>
    <n v="-219.93741024427101"/>
    <n v="0"/>
    <n v="0"/>
    <n v="0"/>
    <n v="-219.93741024427101"/>
  </r>
  <r>
    <x v="9"/>
    <d v="2022-11-03T00:00:00"/>
    <d v="2022-11-23T00:00:00"/>
    <x v="13"/>
    <n v="9"/>
    <n v="23"/>
    <n v="13.235929037012342"/>
    <n v="7.277381992063475"/>
    <n v="167.37978581745992"/>
    <n v="304.42636785128389"/>
    <n v="-137.04658203382397"/>
    <n v="-7.4837161266970078"/>
    <n v="-144.53029816052097"/>
    <n v="0"/>
    <n v="0"/>
    <n v="0"/>
    <n v="-144.53029816052097"/>
  </r>
  <r>
    <x v="10"/>
    <d v="2022-12-05T00:00:00"/>
    <d v="2022-12-23T00:00:00"/>
    <x v="13"/>
    <n v="9"/>
    <n v="18"/>
    <n v="13.235929037012342"/>
    <n v="7.277381992063475"/>
    <n v="130.99287585714256"/>
    <n v="238.24672266622215"/>
    <n v="-107.25384680907959"/>
    <n v="-5.856821316545485"/>
    <n v="-113.11066812562507"/>
    <n v="0"/>
    <n v="0"/>
    <n v="0"/>
    <n v="-113.11066812562507"/>
  </r>
  <r>
    <x v="11"/>
    <d v="2023-01-04T00:00:00"/>
    <d v="2023-01-24T00:00:00"/>
    <x v="13"/>
    <n v="9"/>
    <n v="27"/>
    <n v="13.235929037012342"/>
    <n v="7.277381992063475"/>
    <n v="196.48931378571382"/>
    <n v="357.37008399933325"/>
    <n v="-160.88077021361943"/>
    <n v="-8.7852319748182275"/>
    <n v="-169.66600218843766"/>
    <n v="0"/>
    <n v="0"/>
    <n v="0"/>
    <n v="-169.66600218843766"/>
  </r>
  <r>
    <x v="0"/>
    <d v="2022-02-03T00:00:00"/>
    <d v="2022-02-23T00:00:00"/>
    <x v="14"/>
    <n v="9"/>
    <n v="37"/>
    <n v="13.235929037012342"/>
    <n v="7.277381992063475"/>
    <n v="269.26313370634858"/>
    <n v="489.72937436945665"/>
    <n v="-220.46624066310807"/>
    <n v="-12.039021595121273"/>
    <n v="-232.50526225822935"/>
    <n v="0"/>
    <n v="0"/>
    <n v="0"/>
    <n v="-232.50526225822935"/>
  </r>
  <r>
    <x v="1"/>
    <d v="2022-03-03T00:00:00"/>
    <d v="2022-03-22T00:00:00"/>
    <x v="14"/>
    <n v="9"/>
    <n v="37"/>
    <n v="13.235929037012342"/>
    <n v="7.277381992063475"/>
    <n v="269.26313370634858"/>
    <n v="489.72937436945665"/>
    <n v="-220.46624066310807"/>
    <n v="-12.039021595121273"/>
    <n v="-232.50526225822935"/>
    <n v="0"/>
    <n v="0"/>
    <n v="0"/>
    <n v="-232.50526225822935"/>
  </r>
  <r>
    <x v="2"/>
    <d v="2022-04-05T00:00:00"/>
    <d v="2022-04-25T00:00:00"/>
    <x v="14"/>
    <n v="9"/>
    <n v="25"/>
    <n v="13.235929037012342"/>
    <n v="7.277381992063475"/>
    <n v="181.93454980158688"/>
    <n v="330.89822592530857"/>
    <n v="-148.96367612372168"/>
    <n v="-8.1344740507576176"/>
    <n v="-157.09815017447931"/>
    <n v="0"/>
    <n v="0"/>
    <n v="0"/>
    <n v="-157.09815017447931"/>
  </r>
  <r>
    <x v="3"/>
    <d v="2022-05-04T00:00:00"/>
    <d v="2022-05-24T00:00:00"/>
    <x v="14"/>
    <n v="9"/>
    <n v="31"/>
    <n v="13.235929037012342"/>
    <n v="7.277381992063475"/>
    <n v="225.59884175396772"/>
    <n v="410.31380014738261"/>
    <n v="-184.71495839341489"/>
    <n v="-10.086747822939445"/>
    <n v="-194.80170621635435"/>
    <n v="0"/>
    <n v="0"/>
    <n v="0"/>
    <n v="-194.80170621635435"/>
  </r>
  <r>
    <x v="4"/>
    <d v="2022-06-03T00:00:00"/>
    <d v="2022-06-23T00:00:00"/>
    <x v="14"/>
    <n v="9"/>
    <n v="40"/>
    <n v="13.235929037012342"/>
    <n v="7.277381992063475"/>
    <n v="291.095279682539"/>
    <n v="529.43716148049373"/>
    <n v="-238.34188179795473"/>
    <n v="-13.015158481212188"/>
    <n v="-251.35704027916691"/>
    <n v="0"/>
    <n v="0"/>
    <n v="0"/>
    <n v="-251.35704027916691"/>
  </r>
  <r>
    <x v="5"/>
    <d v="2022-07-05T00:00:00"/>
    <d v="2022-07-25T00:00:00"/>
    <x v="14"/>
    <n v="9"/>
    <n v="48"/>
    <n v="13.235929037012342"/>
    <n v="7.277381992063475"/>
    <n v="349.3143356190468"/>
    <n v="635.32459377659245"/>
    <n v="-286.01025815754565"/>
    <n v="-15.618190177454625"/>
    <n v="-301.62844833500026"/>
    <n v="0"/>
    <n v="0"/>
    <n v="0"/>
    <n v="-301.62844833500026"/>
  </r>
  <r>
    <x v="6"/>
    <d v="2022-08-03T00:00:00"/>
    <d v="2022-08-23T00:00:00"/>
    <x v="14"/>
    <n v="9"/>
    <n v="52"/>
    <n v="13.235929037012342"/>
    <n v="7.277381992063475"/>
    <n v="378.42386358730073"/>
    <n v="688.26830992464181"/>
    <n v="-309.84444633734108"/>
    <n v="-16.919706025575845"/>
    <n v="-326.76415236291695"/>
    <n v="0"/>
    <n v="0"/>
    <n v="0"/>
    <n v="-326.76415236291695"/>
  </r>
  <r>
    <x v="7"/>
    <d v="2022-09-05T00:00:00"/>
    <d v="2022-09-23T00:00:00"/>
    <x v="14"/>
    <n v="9"/>
    <n v="50"/>
    <n v="13.235929037012342"/>
    <n v="7.277381992063475"/>
    <n v="363.86909960317377"/>
    <n v="661.79645185061713"/>
    <n v="-297.92735224744337"/>
    <n v="-16.268948101515235"/>
    <n v="-314.19630034895863"/>
    <n v="0"/>
    <n v="0"/>
    <n v="0"/>
    <n v="-314.19630034895863"/>
  </r>
  <r>
    <x v="8"/>
    <d v="2022-10-05T00:00:00"/>
    <d v="2022-10-25T00:00:00"/>
    <x v="14"/>
    <n v="9"/>
    <n v="47"/>
    <n v="13.235929037012342"/>
    <n v="7.277381992063475"/>
    <n v="342.03695362698335"/>
    <n v="622.08866473958005"/>
    <n v="-280.05171111259671"/>
    <n v="-15.292811215424321"/>
    <n v="-295.34452232802101"/>
    <n v="0"/>
    <n v="0"/>
    <n v="0"/>
    <n v="-295.34452232802101"/>
  </r>
  <r>
    <x v="9"/>
    <d v="2022-11-03T00:00:00"/>
    <d v="2022-11-23T00:00:00"/>
    <x v="14"/>
    <n v="9"/>
    <n v="35"/>
    <n v="13.235929037012342"/>
    <n v="7.277381992063475"/>
    <n v="254.70836972222162"/>
    <n v="463.25751629543197"/>
    <n v="-208.54914657321035"/>
    <n v="-11.388263671060663"/>
    <n v="-219.93741024427101"/>
    <n v="0"/>
    <n v="0"/>
    <n v="0"/>
    <n v="-219.93741024427101"/>
  </r>
  <r>
    <x v="10"/>
    <d v="2022-12-05T00:00:00"/>
    <d v="2022-12-23T00:00:00"/>
    <x v="14"/>
    <n v="9"/>
    <n v="34"/>
    <n v="13.235929037012342"/>
    <n v="7.277381992063475"/>
    <n v="247.43098773015817"/>
    <n v="450.02158725841963"/>
    <n v="-202.59059952826146"/>
    <n v="-11.06288470903036"/>
    <n v="-213.65348423729182"/>
    <n v="0"/>
    <n v="0"/>
    <n v="0"/>
    <n v="-213.65348423729182"/>
  </r>
  <r>
    <x v="11"/>
    <d v="2023-01-04T00:00:00"/>
    <d v="2023-01-24T00:00:00"/>
    <x v="14"/>
    <n v="9"/>
    <n v="34"/>
    <n v="13.235929037012342"/>
    <n v="7.277381992063475"/>
    <n v="247.43098773015817"/>
    <n v="450.02158725841963"/>
    <n v="-202.59059952826146"/>
    <n v="-11.06288470903036"/>
    <n v="-213.65348423729182"/>
    <n v="0"/>
    <n v="0"/>
    <n v="0"/>
    <n v="-213.65348423729182"/>
  </r>
  <r>
    <x v="0"/>
    <d v="2022-02-03T00:00:00"/>
    <d v="2022-02-23T00:00:00"/>
    <x v="15"/>
    <n v="9"/>
    <n v="106"/>
    <n v="13.235929037012342"/>
    <n v="7.277381992063475"/>
    <n v="771.40249115872837"/>
    <n v="1403.0084779233082"/>
    <n v="-631.60598676457982"/>
    <n v="-34.490169975212297"/>
    <n v="-666.09615673979215"/>
    <n v="0"/>
    <n v="0"/>
    <n v="0"/>
    <n v="-666.09615673979215"/>
  </r>
  <r>
    <x v="1"/>
    <d v="2022-03-03T00:00:00"/>
    <d v="2022-03-22T00:00:00"/>
    <x v="15"/>
    <n v="9"/>
    <n v="101"/>
    <n v="13.235929037012342"/>
    <n v="7.277381992063475"/>
    <n v="735.01558119841093"/>
    <n v="1336.8288327382465"/>
    <n v="-601.81325153983562"/>
    <n v="-32.863275165060777"/>
    <n v="-634.67652670489645"/>
    <n v="0"/>
    <n v="0"/>
    <n v="0"/>
    <n v="-634.67652670489645"/>
  </r>
  <r>
    <x v="2"/>
    <d v="2022-04-05T00:00:00"/>
    <d v="2022-04-25T00:00:00"/>
    <x v="15"/>
    <n v="9"/>
    <n v="97"/>
    <n v="13.235929037012342"/>
    <n v="7.277381992063475"/>
    <n v="705.90605323015711"/>
    <n v="1283.8851165901972"/>
    <n v="-577.97906336004007"/>
    <n v="-31.561759316939554"/>
    <n v="-609.54082267697959"/>
    <n v="0"/>
    <n v="0"/>
    <n v="0"/>
    <n v="-609.54082267697959"/>
  </r>
  <r>
    <x v="3"/>
    <d v="2022-05-04T00:00:00"/>
    <d v="2022-05-24T00:00:00"/>
    <x v="15"/>
    <n v="9"/>
    <n v="98"/>
    <n v="13.235929037012342"/>
    <n v="7.277381992063475"/>
    <n v="713.18343522222051"/>
    <n v="1297.1210456272095"/>
    <n v="-583.93761040498896"/>
    <n v="-31.887138278969861"/>
    <n v="-615.82474868395877"/>
    <n v="0"/>
    <n v="0"/>
    <n v="0"/>
    <n v="-615.82474868395877"/>
  </r>
  <r>
    <x v="4"/>
    <d v="2022-06-03T00:00:00"/>
    <d v="2022-06-23T00:00:00"/>
    <x v="15"/>
    <n v="9"/>
    <n v="104"/>
    <n v="13.235929037012342"/>
    <n v="7.277381992063475"/>
    <n v="756.84772717460146"/>
    <n v="1376.5366198492836"/>
    <n v="-619.68889267468217"/>
    <n v="-33.83941205115169"/>
    <n v="-653.52830472583389"/>
    <n v="0"/>
    <n v="0"/>
    <n v="0"/>
    <n v="-653.52830472583389"/>
  </r>
  <r>
    <x v="5"/>
    <d v="2022-07-05T00:00:00"/>
    <d v="2022-07-25T00:00:00"/>
    <x v="15"/>
    <n v="9"/>
    <n v="115"/>
    <n v="13.235929037012342"/>
    <n v="7.277381992063475"/>
    <n v="836.89892908729962"/>
    <n v="1522.1318392564194"/>
    <n v="-685.2329101691198"/>
    <n v="-37.418580633485043"/>
    <n v="-722.65149080260483"/>
    <n v="0"/>
    <n v="0"/>
    <n v="0"/>
    <n v="-722.65149080260483"/>
  </r>
  <r>
    <x v="6"/>
    <d v="2022-08-03T00:00:00"/>
    <d v="2022-08-23T00:00:00"/>
    <x v="15"/>
    <n v="9"/>
    <n v="42"/>
    <n v="13.235929037012342"/>
    <n v="7.277381992063475"/>
    <n v="305.65004366666597"/>
    <n v="555.90901955451841"/>
    <n v="-250.25897588785244"/>
    <n v="-13.665916405272798"/>
    <n v="-263.92489229312525"/>
    <n v="0"/>
    <n v="0"/>
    <n v="0"/>
    <n v="-263.92489229312525"/>
  </r>
  <r>
    <x v="7"/>
    <d v="2022-09-05T00:00:00"/>
    <d v="2022-09-23T00:00:00"/>
    <x v="15"/>
    <n v="9"/>
    <n v="41"/>
    <n v="13.235929037012342"/>
    <n v="7.277381992063475"/>
    <n v="298.37266167460245"/>
    <n v="542.67309051750601"/>
    <n v="-244.30042884290356"/>
    <n v="-13.340537443242491"/>
    <n v="-257.64096628614607"/>
    <n v="0"/>
    <n v="0"/>
    <n v="0"/>
    <n v="-257.64096628614607"/>
  </r>
  <r>
    <x v="8"/>
    <d v="2022-10-05T00:00:00"/>
    <d v="2022-10-25T00:00:00"/>
    <x v="15"/>
    <n v="9"/>
    <n v="115"/>
    <n v="13.235929037012342"/>
    <n v="7.277381992063475"/>
    <n v="836.89892908729962"/>
    <n v="1522.1318392564194"/>
    <n v="-685.2329101691198"/>
    <n v="-37.418580633485043"/>
    <n v="-722.65149080260483"/>
    <n v="0"/>
    <n v="0"/>
    <n v="0"/>
    <n v="-722.65149080260483"/>
  </r>
  <r>
    <x v="9"/>
    <d v="2022-11-03T00:00:00"/>
    <d v="2022-11-23T00:00:00"/>
    <x v="15"/>
    <n v="9"/>
    <n v="105"/>
    <n v="13.235929037012342"/>
    <n v="7.277381992063475"/>
    <n v="764.12510916666486"/>
    <n v="1389.7725488862959"/>
    <n v="-625.64743971963105"/>
    <n v="-34.164791013181997"/>
    <n v="-659.81223073281308"/>
    <n v="0"/>
    <n v="0"/>
    <n v="0"/>
    <n v="-659.81223073281308"/>
  </r>
  <r>
    <x v="10"/>
    <d v="2022-12-05T00:00:00"/>
    <d v="2022-12-23T00:00:00"/>
    <x v="15"/>
    <n v="9"/>
    <n v="104"/>
    <n v="13.235929037012342"/>
    <n v="7.277381992063475"/>
    <n v="756.84772717460146"/>
    <n v="1376.5366198492836"/>
    <n v="-619.68889267468217"/>
    <n v="-33.83941205115169"/>
    <n v="-653.52830472583389"/>
    <n v="0"/>
    <n v="0"/>
    <n v="0"/>
    <n v="-653.52830472583389"/>
  </r>
  <r>
    <x v="11"/>
    <d v="2023-01-04T00:00:00"/>
    <d v="2023-01-24T00:00:00"/>
    <x v="15"/>
    <n v="9"/>
    <n v="104"/>
    <n v="13.235929037012342"/>
    <n v="7.277381992063475"/>
    <n v="756.84772717460146"/>
    <n v="1376.5366198492836"/>
    <n v="-619.68889267468217"/>
    <n v="-33.83941205115169"/>
    <n v="-653.52830472583389"/>
    <n v="0"/>
    <n v="0"/>
    <n v="0"/>
    <n v="-653.528304725833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dataOnRows="1" applyNumberFormats="0" applyBorderFormats="0" applyFontFormats="0" applyPatternFormats="0" applyAlignmentFormats="0" applyWidthHeightFormats="1" dataCaption="Data" updatedVersion="7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57">
        <item m="1" x="57"/>
        <item m="1" x="81"/>
        <item m="1" x="105"/>
        <item m="1" x="129"/>
        <item m="1" x="153"/>
        <item m="1" x="33"/>
        <item m="1" x="68"/>
        <item m="1" x="92"/>
        <item m="1" x="116"/>
        <item m="1" x="140"/>
        <item m="1" x="20"/>
        <item m="1" x="44"/>
        <item m="1" x="58"/>
        <item m="1" x="82"/>
        <item m="1" x="106"/>
        <item m="1" x="130"/>
        <item m="1" x="154"/>
        <item m="1" x="34"/>
        <item m="1" x="70"/>
        <item m="1" x="94"/>
        <item m="1" x="118"/>
        <item m="1" x="142"/>
        <item m="1" x="22"/>
        <item m="1" x="46"/>
        <item m="1" x="59"/>
        <item m="1" x="83"/>
        <item m="1" x="107"/>
        <item m="1" x="131"/>
        <item m="1" x="155"/>
        <item m="1" x="35"/>
        <item m="1" x="71"/>
        <item m="1" x="95"/>
        <item m="1" x="119"/>
        <item m="1" x="143"/>
        <item m="1" x="23"/>
        <item m="1" x="47"/>
        <item m="1" x="60"/>
        <item m="1" x="84"/>
        <item m="1" x="108"/>
        <item m="1" x="132"/>
        <item m="1" x="12"/>
        <item m="1" x="36"/>
        <item m="1" x="72"/>
        <item m="1" x="96"/>
        <item m="1" x="120"/>
        <item m="1" x="144"/>
        <item m="1" x="24"/>
        <item m="1" x="48"/>
        <item m="1" x="61"/>
        <item m="1" x="85"/>
        <item m="1" x="109"/>
        <item m="1" x="133"/>
        <item m="1" x="13"/>
        <item m="1" x="37"/>
        <item m="1" x="73"/>
        <item m="1" x="97"/>
        <item m="1" x="121"/>
        <item m="1" x="145"/>
        <item m="1" x="25"/>
        <item m="1" x="49"/>
        <item m="1" x="62"/>
        <item m="1" x="86"/>
        <item m="1" x="110"/>
        <item m="1" x="134"/>
        <item m="1" x="14"/>
        <item m="1" x="38"/>
        <item m="1" x="74"/>
        <item m="1" x="98"/>
        <item m="1" x="122"/>
        <item m="1" x="146"/>
        <item m="1" x="26"/>
        <item m="1" x="50"/>
        <item m="1" x="63"/>
        <item m="1" x="87"/>
        <item m="1" x="111"/>
        <item m="1" x="135"/>
        <item m="1" x="15"/>
        <item m="1" x="39"/>
        <item m="1" x="75"/>
        <item m="1" x="99"/>
        <item m="1" x="123"/>
        <item m="1" x="147"/>
        <item m="1" x="27"/>
        <item m="1" x="51"/>
        <item m="1" x="64"/>
        <item m="1" x="88"/>
        <item m="1" x="112"/>
        <item m="1" x="136"/>
        <item m="1" x="16"/>
        <item m="1" x="40"/>
        <item m="1" x="76"/>
        <item m="1" x="100"/>
        <item m="1" x="124"/>
        <item m="1" x="148"/>
        <item m="1" x="28"/>
        <item m="1" x="52"/>
        <item m="1" x="65"/>
        <item m="1" x="89"/>
        <item m="1" x="113"/>
        <item m="1" x="137"/>
        <item m="1" x="17"/>
        <item m="1" x="41"/>
        <item m="1" x="77"/>
        <item m="1" x="101"/>
        <item m="1" x="125"/>
        <item m="1" x="149"/>
        <item m="1" x="29"/>
        <item m="1" x="53"/>
        <item m="1" x="66"/>
        <item m="1" x="90"/>
        <item m="1" x="114"/>
        <item m="1" x="138"/>
        <item m="1" x="18"/>
        <item m="1" x="42"/>
        <item m="1" x="78"/>
        <item m="1" x="102"/>
        <item m="1" x="126"/>
        <item m="1" x="150"/>
        <item m="1" x="30"/>
        <item m="1" x="54"/>
        <item m="1" x="67"/>
        <item m="1" x="91"/>
        <item m="1" x="115"/>
        <item m="1" x="139"/>
        <item m="1" x="19"/>
        <item m="1" x="43"/>
        <item m="1" x="79"/>
        <item m="1" x="103"/>
        <item m="1" x="127"/>
        <item m="1" x="151"/>
        <item m="1" x="31"/>
        <item m="1" x="55"/>
        <item m="1" x="69"/>
        <item m="1" x="93"/>
        <item m="1" x="117"/>
        <item m="1" x="141"/>
        <item m="1" x="21"/>
        <item m="1" x="45"/>
        <item m="1" x="80"/>
        <item m="1" x="104"/>
        <item m="1" x="128"/>
        <item m="1" x="152"/>
        <item m="1" x="32"/>
        <item m="1" x="5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 defaultSubtota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workbookViewId="0">
      <selection activeCell="R18" sqref="A1:R18"/>
    </sheetView>
  </sheetViews>
  <sheetFormatPr defaultColWidth="8.7109375" defaultRowHeight="12.75" x14ac:dyDescent="0.2"/>
  <cols>
    <col min="1" max="16384" width="8.7109375" style="1"/>
  </cols>
  <sheetData>
    <row r="1" spans="1:2" x14ac:dyDescent="0.2">
      <c r="A1" s="1" t="s">
        <v>63</v>
      </c>
    </row>
    <row r="3" spans="1:2" x14ac:dyDescent="0.2">
      <c r="A3" s="2">
        <v>1</v>
      </c>
      <c r="B3" s="3" t="s">
        <v>65</v>
      </c>
    </row>
    <row r="4" spans="1:2" x14ac:dyDescent="0.2">
      <c r="A4" s="2">
        <v>2</v>
      </c>
      <c r="B4" s="3" t="s">
        <v>64</v>
      </c>
    </row>
    <row r="5" spans="1:2" x14ac:dyDescent="0.2">
      <c r="A5" s="2">
        <v>3</v>
      </c>
      <c r="B5" s="3" t="s">
        <v>66</v>
      </c>
    </row>
    <row r="6" spans="1:2" x14ac:dyDescent="0.2">
      <c r="A6" s="2">
        <v>4</v>
      </c>
      <c r="B6" s="4" t="s">
        <v>80</v>
      </c>
    </row>
    <row r="7" spans="1:2" x14ac:dyDescent="0.2">
      <c r="A7" s="2">
        <v>5</v>
      </c>
      <c r="B7" s="3" t="s">
        <v>67</v>
      </c>
    </row>
    <row r="8" spans="1:2" x14ac:dyDescent="0.2">
      <c r="A8" s="2">
        <v>6</v>
      </c>
      <c r="B8" s="3" t="s">
        <v>68</v>
      </c>
    </row>
    <row r="9" spans="1:2" x14ac:dyDescent="0.2">
      <c r="A9" s="2">
        <v>7</v>
      </c>
      <c r="B9" s="5" t="s">
        <v>69</v>
      </c>
    </row>
    <row r="10" spans="1:2" x14ac:dyDescent="0.2">
      <c r="A10" s="2">
        <v>8</v>
      </c>
      <c r="B10" s="3" t="s">
        <v>72</v>
      </c>
    </row>
    <row r="11" spans="1:2" x14ac:dyDescent="0.2">
      <c r="A11" s="2"/>
      <c r="B11" s="3" t="s">
        <v>73</v>
      </c>
    </row>
    <row r="12" spans="1:2" x14ac:dyDescent="0.2">
      <c r="A12" s="2"/>
      <c r="B12" s="5" t="s">
        <v>74</v>
      </c>
    </row>
    <row r="13" spans="1:2" x14ac:dyDescent="0.2">
      <c r="A13" s="2"/>
      <c r="B13" s="5" t="s">
        <v>75</v>
      </c>
    </row>
    <row r="14" spans="1:2" x14ac:dyDescent="0.2">
      <c r="A14" s="2">
        <v>9</v>
      </c>
      <c r="B14" s="3" t="s">
        <v>76</v>
      </c>
    </row>
    <row r="15" spans="1:2" x14ac:dyDescent="0.2">
      <c r="A15" s="2">
        <v>10</v>
      </c>
      <c r="B15" s="3" t="s">
        <v>78</v>
      </c>
    </row>
    <row r="16" spans="1:2" x14ac:dyDescent="0.2">
      <c r="A16" s="2">
        <v>11</v>
      </c>
      <c r="B16" s="3" t="s">
        <v>79</v>
      </c>
    </row>
    <row r="17" spans="1:1" x14ac:dyDescent="0.2">
      <c r="A17" s="2"/>
    </row>
  </sheetData>
  <phoneticPr fontId="6" type="noConversion"/>
  <pageMargins left="0.75" right="0.75" top="1" bottom="1" header="0.5" footer="0.5"/>
  <pageSetup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2"/>
  <sheetViews>
    <sheetView zoomScale="85" zoomScaleNormal="85" zoomScaleSheetLayoutView="100" workbookViewId="0">
      <selection activeCell="L8" sqref="L8"/>
    </sheetView>
  </sheetViews>
  <sheetFormatPr defaultColWidth="33.28515625" defaultRowHeight="12.75" x14ac:dyDescent="0.2"/>
  <cols>
    <col min="1" max="1" width="9.140625" style="1" customWidth="1"/>
    <col min="2" max="2" width="14" style="1" customWidth="1"/>
    <col min="3" max="3" width="21.85546875" style="1" customWidth="1"/>
    <col min="4" max="4" width="15.5703125" style="1" customWidth="1"/>
    <col min="5" max="16" width="14" style="1" customWidth="1"/>
    <col min="17" max="17" width="15" style="1" customWidth="1"/>
    <col min="18" max="110" width="31.7109375" style="1" customWidth="1"/>
    <col min="111" max="111" width="11.42578125" style="1" customWidth="1"/>
    <col min="112" max="16384" width="33.28515625" style="1"/>
  </cols>
  <sheetData>
    <row r="1" spans="2:19" x14ac:dyDescent="0.2">
      <c r="C1" s="251" t="str">
        <f>+Transactions!B1</f>
        <v>AEPTCo Formula Rate -- FERC Docket ER18-195</v>
      </c>
      <c r="D1" s="251"/>
      <c r="E1" s="251"/>
      <c r="F1" s="251"/>
      <c r="G1" s="251"/>
      <c r="H1" s="251"/>
      <c r="I1" s="251"/>
      <c r="L1" s="6">
        <v>2022</v>
      </c>
    </row>
    <row r="2" spans="2:19" x14ac:dyDescent="0.2">
      <c r="C2" s="251" t="s">
        <v>36</v>
      </c>
      <c r="D2" s="251"/>
      <c r="E2" s="251"/>
      <c r="F2" s="251"/>
      <c r="G2" s="251"/>
      <c r="H2" s="251"/>
      <c r="I2" s="251"/>
    </row>
    <row r="3" spans="2:19" x14ac:dyDescent="0.2">
      <c r="C3" s="251" t="str">
        <f>"for period 01/01/"&amp;F8&amp;" - 12/31/"&amp;F8</f>
        <v>for period 01/01/2022 - 12/31/2022</v>
      </c>
      <c r="D3" s="251"/>
      <c r="E3" s="251"/>
      <c r="F3" s="251"/>
      <c r="G3" s="251"/>
      <c r="H3" s="251"/>
      <c r="I3" s="251"/>
    </row>
    <row r="4" spans="2:19" x14ac:dyDescent="0.2">
      <c r="C4" s="251" t="s">
        <v>94</v>
      </c>
      <c r="D4" s="251"/>
      <c r="E4" s="251"/>
      <c r="F4" s="251"/>
      <c r="G4" s="251"/>
      <c r="H4" s="251"/>
      <c r="I4" s="251"/>
    </row>
    <row r="5" spans="2:19" x14ac:dyDescent="0.2">
      <c r="C5" s="7" t="str">
        <f>"Prepared:  May 24_, "&amp;L1+1&amp;""</f>
        <v>Prepared:  May 24_, 2023</v>
      </c>
      <c r="D5" s="8"/>
    </row>
    <row r="6" spans="2:19" x14ac:dyDescent="0.2">
      <c r="C6" s="9"/>
    </row>
    <row r="7" spans="2:19" x14ac:dyDescent="0.2">
      <c r="C7" s="10"/>
    </row>
    <row r="8" spans="2:19" ht="27.75" customHeight="1" thickBot="1" x14ac:dyDescent="0.25">
      <c r="F8" s="11">
        <v>2022</v>
      </c>
    </row>
    <row r="9" spans="2:19" ht="20.25" customHeight="1" x14ac:dyDescent="0.2">
      <c r="E9" s="12" t="s">
        <v>93</v>
      </c>
      <c r="F9" s="13"/>
      <c r="G9" s="14"/>
      <c r="H9" s="15"/>
      <c r="L9" s="2"/>
    </row>
    <row r="10" spans="2:19" ht="42" customHeight="1" thickBot="1" x14ac:dyDescent="0.25">
      <c r="B10" s="16"/>
      <c r="E10" s="17" t="str">
        <f>"(per "&amp;$F8&amp;" Projections "&amp;$F8&amp;")"</f>
        <v>(per 2022 Projections 2022)</v>
      </c>
      <c r="F10" s="18" t="str">
        <f>"(per "&amp;F8&amp;" Update of May "&amp;F8+1&amp;")"</f>
        <v>(per 2022 Update of May 2023)</v>
      </c>
      <c r="G10" s="19"/>
      <c r="H10" s="20"/>
    </row>
    <row r="11" spans="2:19" ht="21.75" customHeight="1" x14ac:dyDescent="0.2">
      <c r="B11" s="21"/>
      <c r="C11" s="22" t="s">
        <v>39</v>
      </c>
      <c r="D11" s="23" t="s">
        <v>37</v>
      </c>
      <c r="E11" s="24">
        <f>Transactions!K2</f>
        <v>1294950.3532651395</v>
      </c>
      <c r="F11" s="25"/>
      <c r="G11" s="26"/>
      <c r="H11" s="27"/>
    </row>
    <row r="12" spans="2:19" ht="21.75" customHeight="1" x14ac:dyDescent="0.2">
      <c r="B12" s="21"/>
      <c r="C12" s="28"/>
      <c r="D12" s="29" t="s">
        <v>42</v>
      </c>
      <c r="E12" s="30"/>
      <c r="F12" s="31">
        <f>+Transactions!J2</f>
        <v>761752.68263725226</v>
      </c>
      <c r="G12" s="32"/>
      <c r="H12" s="33"/>
      <c r="K12" s="34"/>
    </row>
    <row r="13" spans="2:19" ht="21.75" customHeight="1" x14ac:dyDescent="0.2">
      <c r="B13" s="35"/>
      <c r="C13" s="36" t="s">
        <v>40</v>
      </c>
      <c r="D13" s="37" t="s">
        <v>38</v>
      </c>
      <c r="E13" s="38">
        <f>Transactions!K3</f>
        <v>13.235929037012342</v>
      </c>
      <c r="F13" s="33"/>
      <c r="G13" s="39"/>
      <c r="H13" s="40"/>
      <c r="K13" s="41"/>
    </row>
    <row r="14" spans="2:19" ht="21.75" customHeight="1" thickBot="1" x14ac:dyDescent="0.25">
      <c r="B14" s="16"/>
      <c r="C14" s="42"/>
      <c r="D14" s="43" t="s">
        <v>41</v>
      </c>
      <c r="E14" s="44"/>
      <c r="F14" s="45">
        <f>+Transactions!J3</f>
        <v>7.277381992063475</v>
      </c>
      <c r="G14" s="46"/>
      <c r="H14" s="33"/>
      <c r="K14" s="34"/>
    </row>
    <row r="15" spans="2:19" x14ac:dyDescent="0.2">
      <c r="B15" s="21"/>
      <c r="E15" s="47"/>
      <c r="K15" s="41"/>
    </row>
    <row r="16" spans="2:19" x14ac:dyDescent="0.2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x14ac:dyDescent="0.2">
      <c r="C17" s="10"/>
      <c r="K17" s="41"/>
      <c r="N17" s="54"/>
      <c r="O17" s="53"/>
      <c r="P17" s="53"/>
      <c r="Q17" s="53"/>
      <c r="R17" s="53"/>
      <c r="S17" s="53"/>
    </row>
    <row r="18" spans="2:19" x14ac:dyDescent="0.2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25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92</v>
      </c>
      <c r="I19" s="56" t="s">
        <v>91</v>
      </c>
      <c r="J19" s="57" t="s">
        <v>95</v>
      </c>
      <c r="K19" s="58" t="s">
        <v>96</v>
      </c>
      <c r="N19" s="52"/>
      <c r="O19" s="53"/>
      <c r="P19" s="53"/>
      <c r="Q19" s="53"/>
      <c r="R19" s="53"/>
      <c r="S19" s="53"/>
    </row>
    <row r="20" spans="2:19" ht="53.25" customHeight="1" x14ac:dyDescent="0.2">
      <c r="C20" s="59" t="s">
        <v>50</v>
      </c>
      <c r="D20" s="60" t="str">
        <f>"Actual Charge
("&amp;F8&amp;" True-Up)"</f>
        <v>Actual Charge
(2022 True-Up)</v>
      </c>
      <c r="E20" s="61" t="str">
        <f>"Invoiced for
CY"&amp;F8&amp;" Transmission Service"</f>
        <v>Invoiced for
CY2022 Transmission Service</v>
      </c>
      <c r="F20" s="60" t="s">
        <v>102</v>
      </c>
      <c r="G20" s="62" t="s">
        <v>103</v>
      </c>
      <c r="H20" s="62" t="s">
        <v>100</v>
      </c>
      <c r="I20" s="60" t="s">
        <v>104</v>
      </c>
      <c r="J20" s="63" t="s">
        <v>101</v>
      </c>
      <c r="K20" s="64" t="s">
        <v>97</v>
      </c>
      <c r="N20" s="52"/>
      <c r="O20" s="53"/>
      <c r="P20" s="53"/>
      <c r="Q20" s="53"/>
      <c r="R20" s="53"/>
      <c r="S20" s="53"/>
    </row>
    <row r="21" spans="2:19" x14ac:dyDescent="0.2">
      <c r="B21" s="65"/>
      <c r="C21" s="66" t="s">
        <v>14</v>
      </c>
      <c r="D21" s="67">
        <f>GETPIVOTDATA("Sum of "&amp;T(Transactions!$J$19),Pivot!$A$3,"Customer",C21)</f>
        <v>72228.016271229993</v>
      </c>
      <c r="E21" s="67">
        <f>GETPIVOTDATA("Sum of "&amp;T(Transactions!$K$19),Pivot!$A$3,"Customer",C21)</f>
        <v>131366.59569234747</v>
      </c>
      <c r="F21" s="67">
        <f>D21-E21</f>
        <v>-59138.57942111748</v>
      </c>
      <c r="G21" s="53">
        <f>+GETPIVOTDATA("Sum of "&amp;T(Transactions!$M$19),Pivot!$A$3,"Customer","AECC")</f>
        <v>-3229.3861981507744</v>
      </c>
      <c r="H21" s="53">
        <f>GETPIVOTDATA("Sum of "&amp;T(Transactions!$Q$19),Pivot!$A$3,"Customer","AECC")</f>
        <v>0</v>
      </c>
      <c r="I21" s="68">
        <f>F21+G21-H21</f>
        <v>-62367.965619268252</v>
      </c>
      <c r="J21" s="69">
        <v>0</v>
      </c>
      <c r="K21" s="70">
        <f>I21+J21</f>
        <v>-62367.965619268252</v>
      </c>
      <c r="L21" s="65"/>
      <c r="N21" s="52"/>
      <c r="O21" s="53"/>
      <c r="P21" s="53"/>
      <c r="Q21" s="53"/>
      <c r="R21" s="53"/>
      <c r="S21" s="53"/>
    </row>
    <row r="22" spans="2:19" x14ac:dyDescent="0.2">
      <c r="B22" s="65"/>
      <c r="C22" s="71" t="s">
        <v>83</v>
      </c>
      <c r="D22" s="67">
        <f>GETPIVOTDATA("Sum of "&amp;T(Transactions!$J$19),Pivot!$A$3,"Customer",C22)</f>
        <v>3966.1731856745937</v>
      </c>
      <c r="E22" s="67">
        <f>GETPIVOTDATA("Sum of "&amp;T(Transactions!$K$19),Pivot!$A$3,"Customer",C22)</f>
        <v>7213.5813251717254</v>
      </c>
      <c r="F22" s="67">
        <f>D22-E22</f>
        <v>-3247.4081394971317</v>
      </c>
      <c r="G22" s="53">
        <f>+GETPIVOTDATA("Sum of "&amp;T(Transactions!$M$19),Pivot!$A$3,"Customer","AECI")</f>
        <v>-177.33153430651609</v>
      </c>
      <c r="H22" s="53">
        <f>GETPIVOTDATA("Sum of "&amp;T(Transactions!$Q$19),Pivot!$A$3,"Customer",C22)</f>
        <v>0</v>
      </c>
      <c r="I22" s="68">
        <f t="shared" ref="I22:I33" si="0">F22+G22-H22</f>
        <v>-3424.7396738036477</v>
      </c>
      <c r="J22" s="69">
        <v>0</v>
      </c>
      <c r="K22" s="70">
        <f t="shared" ref="K22:K39" si="1">I22+J22</f>
        <v>-3424.7396738036477</v>
      </c>
      <c r="L22" s="65"/>
      <c r="N22" s="52"/>
      <c r="O22" s="53"/>
      <c r="P22" s="53"/>
      <c r="Q22" s="53"/>
      <c r="R22" s="53"/>
      <c r="S22" s="53"/>
    </row>
    <row r="23" spans="2:19" x14ac:dyDescent="0.2">
      <c r="B23" s="65"/>
      <c r="C23" s="71" t="s">
        <v>54</v>
      </c>
      <c r="D23" s="67">
        <f>GETPIVOTDATA("Sum of "&amp;T(Transactions!$J$19),Pivot!$A$3,"Customer",C23)</f>
        <v>11243.55517773807</v>
      </c>
      <c r="E23" s="67">
        <f>GETPIVOTDATA("Sum of "&amp;T(Transactions!$K$19),Pivot!$A$3,"Customer",C23)</f>
        <v>20449.510362184072</v>
      </c>
      <c r="F23" s="67">
        <f t="shared" ref="F23:F35" si="2">D23-E23</f>
        <v>-9205.955184446002</v>
      </c>
      <c r="G23" s="53">
        <f>+GETPIVOTDATA("Sum of "&amp;T(Transactions!$M$19),Pivot!$A$3,"Customer","Bentonville, AR")</f>
        <v>-502.71049633682071</v>
      </c>
      <c r="H23" s="53">
        <f>GETPIVOTDATA("Sum of "&amp;T(Transactions!$Q$19),Pivot!$A$3,"Customer",C23)</f>
        <v>0</v>
      </c>
      <c r="I23" s="68">
        <f t="shared" si="0"/>
        <v>-9708.6656807828222</v>
      </c>
      <c r="J23" s="69">
        <v>0</v>
      </c>
      <c r="K23" s="70">
        <f t="shared" si="1"/>
        <v>-9708.6656807828222</v>
      </c>
      <c r="L23" s="65"/>
      <c r="N23" s="52"/>
      <c r="O23" s="53"/>
      <c r="P23" s="53"/>
      <c r="Q23" s="53"/>
      <c r="R23" s="53"/>
      <c r="S23" s="53"/>
    </row>
    <row r="24" spans="2:19" x14ac:dyDescent="0.2">
      <c r="B24" s="65"/>
      <c r="C24" s="66" t="s">
        <v>17</v>
      </c>
      <c r="D24" s="67">
        <f>GETPIVOTDATA("Sum of "&amp;T(Transactions!$J$19),Pivot!$A$3,"Customer",C24)</f>
        <v>8237.9964150158521</v>
      </c>
      <c r="E24" s="67">
        <f>GETPIVOTDATA("Sum of "&amp;T(Transactions!$K$19),Pivot!$A$3,"Customer",C24)</f>
        <v>14983.071669897969</v>
      </c>
      <c r="F24" s="67">
        <f t="shared" si="2"/>
        <v>-6745.0752548821165</v>
      </c>
      <c r="G24" s="53">
        <f>+GETPIVOTDATA("Sum of "&amp;T(Transactions!$M$19),Pivot!$A$3,"Customer","Coffeyville, KS")</f>
        <v>-368.32898501830493</v>
      </c>
      <c r="H24" s="53">
        <f>GETPIVOTDATA("Sum of "&amp;T(Transactions!$Q$19),Pivot!$A$3,"Customer",C24)</f>
        <v>0</v>
      </c>
      <c r="I24" s="68">
        <f t="shared" si="0"/>
        <v>-7113.4042399004211</v>
      </c>
      <c r="J24" s="69">
        <v>0</v>
      </c>
      <c r="K24" s="70">
        <f t="shared" si="1"/>
        <v>-7113.4042399004211</v>
      </c>
      <c r="L24" s="65"/>
      <c r="N24" s="52"/>
      <c r="O24" s="53"/>
      <c r="P24" s="53"/>
      <c r="Q24" s="53"/>
      <c r="R24" s="53"/>
      <c r="S24" s="53"/>
    </row>
    <row r="25" spans="2:19" x14ac:dyDescent="0.2">
      <c r="B25" s="65"/>
      <c r="C25" s="71" t="s">
        <v>13</v>
      </c>
      <c r="D25" s="67">
        <f>GETPIVOTDATA("Sum of "&amp;T(Transactions!$J$19),Pivot!$A$3,"Customer",C25)</f>
        <v>80225.859080507755</v>
      </c>
      <c r="E25" s="67">
        <f>GETPIVOTDATA("Sum of "&amp;T(Transactions!$K$19),Pivot!$A$3,"Customer",C25)</f>
        <v>145912.88170402407</v>
      </c>
      <c r="F25" s="67">
        <f t="shared" si="2"/>
        <v>-65687.022623516314</v>
      </c>
      <c r="G25" s="53">
        <f>+GETPIVOTDATA("Sum of "&amp;T(Transactions!$M$19),Pivot!$A$3,"Customer","ETEC")</f>
        <v>-3586.9776774220791</v>
      </c>
      <c r="H25" s="53">
        <f>GETPIVOTDATA("Sum of "&amp;T(Transactions!$Q$19),Pivot!$A$3,"Customer",C25)</f>
        <v>0</v>
      </c>
      <c r="I25" s="68">
        <f t="shared" si="0"/>
        <v>-69274.000300938395</v>
      </c>
      <c r="J25" s="69">
        <v>0</v>
      </c>
      <c r="K25" s="70">
        <f t="shared" si="1"/>
        <v>-69274.000300938395</v>
      </c>
      <c r="L25" s="65"/>
      <c r="N25" s="54"/>
      <c r="O25" s="53"/>
      <c r="P25" s="53"/>
      <c r="Q25" s="53"/>
      <c r="R25" s="53"/>
      <c r="S25" s="53"/>
    </row>
    <row r="26" spans="2:19" x14ac:dyDescent="0.2">
      <c r="B26" s="65"/>
      <c r="C26" s="66" t="s">
        <v>15</v>
      </c>
      <c r="D26" s="67">
        <f>GETPIVOTDATA("Sum of "&amp;T(Transactions!$J$19),Pivot!$A$3,"Customer",C26)</f>
        <v>829.62154709523611</v>
      </c>
      <c r="E26" s="67">
        <f>GETPIVOTDATA("Sum of "&amp;T(Transactions!$K$19),Pivot!$A$3,"Customer",C26)</f>
        <v>1508.8959102194071</v>
      </c>
      <c r="F26" s="67">
        <f t="shared" si="2"/>
        <v>-679.27436312417103</v>
      </c>
      <c r="G26" s="53">
        <f>+GETPIVOTDATA("Sum of "&amp;T(Transactions!$M$19),Pivot!$A$3,"Customer","Greenbelt")</f>
        <v>-37.093201671454736</v>
      </c>
      <c r="H26" s="53">
        <f>GETPIVOTDATA("Sum of "&amp;T(Transactions!$Q$19),Pivot!$A$3,"Customer",C26)</f>
        <v>0</v>
      </c>
      <c r="I26" s="68">
        <f t="shared" si="0"/>
        <v>-716.36756479562575</v>
      </c>
      <c r="J26" s="69">
        <v>0</v>
      </c>
      <c r="K26" s="70">
        <f t="shared" si="1"/>
        <v>-716.36756479562575</v>
      </c>
      <c r="L26" s="65"/>
      <c r="M26" s="72"/>
      <c r="N26" s="72"/>
      <c r="O26" s="72"/>
      <c r="P26" s="72"/>
      <c r="Q26" s="53"/>
      <c r="R26" s="53"/>
      <c r="S26" s="53"/>
    </row>
    <row r="27" spans="2:19" x14ac:dyDescent="0.2">
      <c r="B27" s="65"/>
      <c r="C27" s="66" t="s">
        <v>57</v>
      </c>
      <c r="D27" s="67">
        <f>GETPIVOTDATA("Sum of "&amp;T(Transactions!$J$19),Pivot!$A$3,"Customer",C27)</f>
        <v>3420.3695362698327</v>
      </c>
      <c r="E27" s="67">
        <f>GETPIVOTDATA("Sum of "&amp;T(Transactions!$K$19),Pivot!$A$3,"Customer",C27)</f>
        <v>6220.8866473958005</v>
      </c>
      <c r="F27" s="67">
        <f t="shared" si="2"/>
        <v>-2800.5171111259679</v>
      </c>
      <c r="G27" s="53">
        <f>+GETPIVOTDATA("Sum of "&amp;T(Transactions!$M$19),Pivot!$A$3,"Customer","Hope, AR")</f>
        <v>-152.92811215424319</v>
      </c>
      <c r="H27" s="53">
        <f>GETPIVOTDATA("Sum of "&amp;T(Transactions!$Q$19),Pivot!$A$3,"Customer",C27)</f>
        <v>0</v>
      </c>
      <c r="I27" s="68">
        <f t="shared" si="0"/>
        <v>-2953.4452232802109</v>
      </c>
      <c r="J27" s="69">
        <v>0</v>
      </c>
      <c r="K27" s="70">
        <f t="shared" si="1"/>
        <v>-2953.4452232802109</v>
      </c>
      <c r="L27" s="65"/>
      <c r="M27" s="72"/>
      <c r="N27" s="72"/>
      <c r="O27" s="72"/>
      <c r="P27" s="72"/>
      <c r="Q27" s="53"/>
      <c r="R27" s="53"/>
      <c r="S27" s="53"/>
    </row>
    <row r="28" spans="2:19" x14ac:dyDescent="0.2">
      <c r="B28" s="65"/>
      <c r="C28" s="66" t="s">
        <v>16</v>
      </c>
      <c r="D28" s="67">
        <f>GETPIVOTDATA("Sum of "&amp;T(Transactions!$J$19),Pivot!$A$3,"Customer",C28)</f>
        <v>291.09527968253894</v>
      </c>
      <c r="E28" s="67">
        <f>GETPIVOTDATA("Sum of "&amp;T(Transactions!$K$19),Pivot!$A$3,"Customer",C28)</f>
        <v>529.43716148049373</v>
      </c>
      <c r="F28" s="67">
        <f t="shared" si="2"/>
        <v>-238.34188179795478</v>
      </c>
      <c r="G28" s="53">
        <f>+GETPIVOTDATA("Sum of "&amp;T(Transactions!$M$19),Pivot!$A$3,"Customer","Lighthouse")</f>
        <v>-13.01515848121219</v>
      </c>
      <c r="H28" s="53">
        <f>GETPIVOTDATA("Sum of "&amp;T(Transactions!$Q$19),Pivot!$A$3,"Customer",C28)</f>
        <v>0</v>
      </c>
      <c r="I28" s="68">
        <f t="shared" si="0"/>
        <v>-251.35704027916697</v>
      </c>
      <c r="J28" s="69">
        <v>0</v>
      </c>
      <c r="K28" s="70">
        <f t="shared" si="1"/>
        <v>-251.35704027916697</v>
      </c>
      <c r="L28" s="65"/>
      <c r="N28" s="52"/>
      <c r="O28" s="53"/>
      <c r="P28" s="53"/>
      <c r="Q28" s="53"/>
      <c r="R28" s="53"/>
      <c r="S28" s="53"/>
    </row>
    <row r="29" spans="2:19" x14ac:dyDescent="0.2">
      <c r="B29" s="65"/>
      <c r="C29" s="71" t="s">
        <v>56</v>
      </c>
      <c r="D29" s="67">
        <f>GETPIVOTDATA("Sum of "&amp;T(Transactions!$J$19),Pivot!$A$3,"Customer",C29)</f>
        <v>2423.3682033571372</v>
      </c>
      <c r="E29" s="67">
        <f>GETPIVOTDATA("Sum of "&amp;T(Transactions!$K$19),Pivot!$A$3,"Customer",C29)</f>
        <v>4407.5643693251095</v>
      </c>
      <c r="F29" s="67">
        <f t="shared" si="2"/>
        <v>-1984.1961659679723</v>
      </c>
      <c r="G29" s="53">
        <f>+GETPIVOTDATA("Sum of "&amp;T(Transactions!$M$19),Pivot!$A$3,"Customer","Minden, LA")</f>
        <v>-108.35119435609147</v>
      </c>
      <c r="H29" s="53">
        <f>GETPIVOTDATA("Sum of "&amp;T(Transactions!$Q$19),Pivot!$A$3,"Customer",C29)</f>
        <v>0</v>
      </c>
      <c r="I29" s="68">
        <f t="shared" si="0"/>
        <v>-2092.5473603240639</v>
      </c>
      <c r="J29" s="69">
        <v>0</v>
      </c>
      <c r="K29" s="70">
        <f t="shared" si="1"/>
        <v>-2092.5473603240639</v>
      </c>
      <c r="L29" s="65"/>
      <c r="N29" s="52"/>
      <c r="O29" s="53"/>
      <c r="P29" s="53"/>
      <c r="Q29" s="53"/>
      <c r="R29" s="53"/>
      <c r="S29" s="53"/>
    </row>
    <row r="30" spans="2:19" x14ac:dyDescent="0.2">
      <c r="B30" s="65"/>
      <c r="C30" s="71" t="s">
        <v>19</v>
      </c>
      <c r="D30" s="67">
        <f>GETPIVOTDATA("Sum of "&amp;T(Transactions!$J$19),Pivot!$A$3,"Customer",C30)</f>
        <v>4628.41494695237</v>
      </c>
      <c r="E30" s="67">
        <f>GETPIVOTDATA("Sum of "&amp;T(Transactions!$K$19),Pivot!$A$3,"Customer",C30)</f>
        <v>8418.0508675398505</v>
      </c>
      <c r="F30" s="67">
        <f t="shared" si="2"/>
        <v>-3789.6359205874805</v>
      </c>
      <c r="G30" s="53">
        <f>+GETPIVOTDATA("Sum of "&amp;T(Transactions!$M$19),Pivot!$A$3,"Customer","OG&amp;E")</f>
        <v>-206.94101985127378</v>
      </c>
      <c r="H30" s="53">
        <f>GETPIVOTDATA("Sum of "&amp;T(Transactions!$Q$19),Pivot!$A$3,"Customer",C30)</f>
        <v>0</v>
      </c>
      <c r="I30" s="68">
        <f t="shared" si="0"/>
        <v>-3996.5769404387543</v>
      </c>
      <c r="J30" s="69">
        <v>0</v>
      </c>
      <c r="K30" s="70">
        <f t="shared" si="1"/>
        <v>-3996.5769404387543</v>
      </c>
      <c r="L30" s="65"/>
    </row>
    <row r="31" spans="2:19" x14ac:dyDescent="0.2">
      <c r="B31" s="65"/>
      <c r="C31" s="66" t="s">
        <v>8</v>
      </c>
      <c r="D31" s="67">
        <f>GETPIVOTDATA("Sum of "&amp;T(Transactions!$J$19),Pivot!$A$3,"Customer",C31)</f>
        <v>9511.5382636269624</v>
      </c>
      <c r="E31" s="67">
        <f>GETPIVOTDATA("Sum of "&amp;T(Transactions!$K$19),Pivot!$A$3,"Customer",C31)</f>
        <v>17299.359251375132</v>
      </c>
      <c r="F31" s="67">
        <f t="shared" si="2"/>
        <v>-7787.8209877481695</v>
      </c>
      <c r="G31" s="53">
        <f>+GETPIVOTDATA("Sum of "&amp;T(Transactions!$M$19),Pivot!$A$3,"Customer","OMPA")</f>
        <v>-425.27030337360821</v>
      </c>
      <c r="H31" s="53">
        <f>GETPIVOTDATA("Sum of "&amp;T(Transactions!$Q$19),Pivot!$A$3,"Customer",C31)</f>
        <v>0</v>
      </c>
      <c r="I31" s="68">
        <f t="shared" si="0"/>
        <v>-8213.0912911217783</v>
      </c>
      <c r="J31" s="69">
        <v>0</v>
      </c>
      <c r="K31" s="70">
        <f t="shared" si="1"/>
        <v>-8213.0912911217783</v>
      </c>
      <c r="L31" s="65"/>
    </row>
    <row r="32" spans="2:19" x14ac:dyDescent="0.2">
      <c r="B32" s="65"/>
      <c r="C32" s="66" t="s">
        <v>55</v>
      </c>
      <c r="D32" s="67">
        <f>GETPIVOTDATA("Sum of "&amp;T(Transactions!$J$19),Pivot!$A$3,"Customer",C32)</f>
        <v>953.33704096031522</v>
      </c>
      <c r="E32" s="67">
        <f>GETPIVOTDATA("Sum of "&amp;T(Transactions!$K$19),Pivot!$A$3,"Customer",C32)</f>
        <v>1733.9067038486166</v>
      </c>
      <c r="F32" s="67">
        <f t="shared" si="2"/>
        <v>-780.56966288830142</v>
      </c>
      <c r="G32" s="53">
        <f>+GETPIVOTDATA("Sum of "&amp;T(Transactions!$M$19),Pivot!$A$3,"Customer","Prescott, AR")</f>
        <v>-42.624644025969914</v>
      </c>
      <c r="H32" s="53">
        <f>GETPIVOTDATA("Sum of "&amp;T(Transactions!$Q$19),Pivot!$A$3,"Customer",C32)</f>
        <v>0</v>
      </c>
      <c r="I32" s="68">
        <f t="shared" si="0"/>
        <v>-823.19430691427135</v>
      </c>
      <c r="J32" s="69">
        <v>0</v>
      </c>
      <c r="K32" s="70">
        <f t="shared" si="1"/>
        <v>-823.19430691427135</v>
      </c>
      <c r="L32" s="65"/>
    </row>
    <row r="33" spans="2:13" x14ac:dyDescent="0.2">
      <c r="B33" s="65"/>
      <c r="C33" s="73" t="s">
        <v>9</v>
      </c>
      <c r="D33" s="67">
        <f>GETPIVOTDATA("Sum of "&amp;T(Transactions!$J$19),Pivot!$A$3,"Customer",C33)</f>
        <v>4089.8886795396729</v>
      </c>
      <c r="E33" s="67">
        <f>GETPIVOTDATA("Sum of "&amp;T(Transactions!$K$19),Pivot!$A$3,"Customer",C33)</f>
        <v>7438.592118800937</v>
      </c>
      <c r="F33" s="67">
        <f t="shared" si="2"/>
        <v>-3348.7034392612641</v>
      </c>
      <c r="G33" s="53">
        <f>+GETPIVOTDATA("Sum of "&amp;T(Transactions!$M$19),Pivot!$A$3,"Customer","WFEC")</f>
        <v>-182.86297666103124</v>
      </c>
      <c r="H33" s="53">
        <f>GETPIVOTDATA("Sum of "&amp;T(Transactions!$Q$19),Pivot!$A$3,"Customer",C33)</f>
        <v>0</v>
      </c>
      <c r="I33" s="68">
        <f t="shared" si="0"/>
        <v>-3531.5664159222952</v>
      </c>
      <c r="J33" s="69">
        <v>0</v>
      </c>
      <c r="K33" s="70">
        <f t="shared" si="1"/>
        <v>-3531.5664159222952</v>
      </c>
      <c r="L33" s="65"/>
    </row>
    <row r="34" spans="2:13" ht="24" x14ac:dyDescent="0.2">
      <c r="C34" s="74" t="s">
        <v>43</v>
      </c>
      <c r="D34" s="75">
        <f t="shared" ref="D34:J34" si="3">SUM(D21:D33)</f>
        <v>202049.23362765033</v>
      </c>
      <c r="E34" s="75">
        <f t="shared" si="3"/>
        <v>367482.33378361061</v>
      </c>
      <c r="F34" s="75">
        <f t="shared" si="3"/>
        <v>-165433.1001559603</v>
      </c>
      <c r="G34" s="76">
        <f t="shared" si="3"/>
        <v>-9033.8215018093815</v>
      </c>
      <c r="H34" s="76">
        <f t="shared" si="3"/>
        <v>0</v>
      </c>
      <c r="I34" s="77">
        <f t="shared" si="3"/>
        <v>-174466.92165776971</v>
      </c>
      <c r="J34" s="78">
        <f t="shared" si="3"/>
        <v>0</v>
      </c>
      <c r="K34" s="79">
        <f t="shared" si="1"/>
        <v>-174466.92165776971</v>
      </c>
    </row>
    <row r="35" spans="2:13" x14ac:dyDescent="0.2">
      <c r="C35" s="80" t="s">
        <v>21</v>
      </c>
      <c r="D35" s="67">
        <f>GETPIVOTDATA("Sum of "&amp;T(Transactions!$J$19),Pivot!$A$3,"Customer",C35)</f>
        <v>281933.05575453112</v>
      </c>
      <c r="E35" s="67">
        <f>GETPIVOTDATA("Sum of "&amp;T(Transactions!$K$19),Pivot!$A$3,"Customer",C35)</f>
        <v>512773.12682289508</v>
      </c>
      <c r="F35" s="67">
        <f t="shared" si="2"/>
        <v>-230840.07106836396</v>
      </c>
      <c r="G35" s="53">
        <f>+GETPIVOTDATA("Sum of "&amp;T(Transactions!$M$19),Pivot!$A$3,"Customer","PSO")</f>
        <v>-12605.506368016037</v>
      </c>
      <c r="H35" s="53">
        <f>GETPIVOTDATA("Sum of "&amp;T(Transactions!$Q$19),Pivot!$A$3,"Customer",C35)</f>
        <v>0</v>
      </c>
      <c r="I35" s="68">
        <f>F35+G35-H35</f>
        <v>-243445.57743638</v>
      </c>
      <c r="J35" s="69">
        <v>0</v>
      </c>
      <c r="K35" s="70">
        <f t="shared" si="1"/>
        <v>-243445.57743638</v>
      </c>
    </row>
    <row r="36" spans="2:13" x14ac:dyDescent="0.2">
      <c r="C36" s="81" t="s">
        <v>22</v>
      </c>
      <c r="D36" s="67">
        <f>GETPIVOTDATA("Sum of "&amp;T(Transactions!$J$19),Pivot!$A$3,"Customer",C36)</f>
        <v>265617.16532832477</v>
      </c>
      <c r="E36" s="67">
        <f>GETPIVOTDATA("Sum of "&amp;T(Transactions!$K$19),Pivot!$A$3,"Customer",C36)</f>
        <v>483098.17392191349</v>
      </c>
      <c r="F36" s="67">
        <f>D36-E36</f>
        <v>-217481.00859358872</v>
      </c>
      <c r="G36" s="53">
        <f>+GETPIVOTDATA("Sum of "&amp;T(Transactions!$M$19),Pivot!$A$3,"Customer","SWEPCO")</f>
        <v>-11876.006735144092</v>
      </c>
      <c r="H36" s="53">
        <f>GETPIVOTDATA("Sum of "&amp;T(Transactions!$Q$19),Pivot!$A$3,"Customer",C36)</f>
        <v>0</v>
      </c>
      <c r="I36" s="68">
        <f>F36+G36-H36</f>
        <v>-229357.01532873281</v>
      </c>
      <c r="J36" s="69">
        <v>0</v>
      </c>
      <c r="K36" s="70">
        <f t="shared" si="1"/>
        <v>-229357.01532873281</v>
      </c>
    </row>
    <row r="37" spans="2:13" x14ac:dyDescent="0.2">
      <c r="C37" s="82" t="s">
        <v>81</v>
      </c>
      <c r="D37" s="67">
        <f>GETPIVOTDATA("Sum of "&amp;T(Transactions!$J$19),Pivot!$A$3,"Customer",C37)</f>
        <v>12153.227926746004</v>
      </c>
      <c r="E37" s="67">
        <f>GETPIVOTDATA("Sum of "&amp;T(Transactions!$K$19),Pivot!$A$3,"Customer",C37)</f>
        <v>22104.00149181061</v>
      </c>
      <c r="F37" s="67">
        <f>D37-E37</f>
        <v>-9950.7735650646064</v>
      </c>
      <c r="G37" s="53">
        <f>+GETPIVOTDATA("Sum of "&amp;T(Transactions!$M$19),Pivot!$A$3,"Customer","SWEPCO-Valley")</f>
        <v>-543.38286659060873</v>
      </c>
      <c r="H37" s="53">
        <f>GETPIVOTDATA("Sum of "&amp;T(Transactions!$Q$19),Pivot!$A$3,"Customer",C37)</f>
        <v>0</v>
      </c>
      <c r="I37" s="68">
        <f>F37+G37-H37</f>
        <v>-10494.156431655216</v>
      </c>
      <c r="J37" s="69">
        <v>0</v>
      </c>
      <c r="K37" s="70">
        <f t="shared" si="1"/>
        <v>-10494.156431655216</v>
      </c>
    </row>
    <row r="38" spans="2:13" ht="24" x14ac:dyDescent="0.2">
      <c r="C38" s="83" t="s">
        <v>51</v>
      </c>
      <c r="D38" s="84">
        <f t="shared" ref="D38:I38" si="4">SUM(D35:D37)</f>
        <v>559703.44900960196</v>
      </c>
      <c r="E38" s="84">
        <f t="shared" si="4"/>
        <v>1017975.3022366192</v>
      </c>
      <c r="F38" s="84">
        <f t="shared" si="4"/>
        <v>-458271.85322701727</v>
      </c>
      <c r="G38" s="85">
        <f t="shared" si="4"/>
        <v>-25024.895969750734</v>
      </c>
      <c r="H38" s="85">
        <f t="shared" si="4"/>
        <v>0</v>
      </c>
      <c r="I38" s="86">
        <f t="shared" si="4"/>
        <v>-483296.74919676804</v>
      </c>
      <c r="J38" s="87">
        <f>SUM(J35:J37)</f>
        <v>0</v>
      </c>
      <c r="K38" s="88">
        <f t="shared" si="1"/>
        <v>-483296.74919676804</v>
      </c>
      <c r="M38" s="89"/>
    </row>
    <row r="39" spans="2:13" ht="23.25" customHeight="1" thickBot="1" x14ac:dyDescent="0.25">
      <c r="C39" s="90" t="s">
        <v>44</v>
      </c>
      <c r="D39" s="91">
        <f t="shared" ref="D39:I39" si="5">SUM(D34,D38)</f>
        <v>761752.68263725226</v>
      </c>
      <c r="E39" s="92">
        <f t="shared" si="5"/>
        <v>1385457.6360202297</v>
      </c>
      <c r="F39" s="91">
        <f t="shared" si="5"/>
        <v>-623704.95338297752</v>
      </c>
      <c r="G39" s="92">
        <f t="shared" si="5"/>
        <v>-34058.717471560114</v>
      </c>
      <c r="H39" s="92">
        <f t="shared" si="5"/>
        <v>0</v>
      </c>
      <c r="I39" s="93">
        <f t="shared" si="5"/>
        <v>-657763.67085453775</v>
      </c>
      <c r="J39" s="94">
        <f>SUM(J34,J38)</f>
        <v>0</v>
      </c>
      <c r="K39" s="95">
        <f t="shared" si="1"/>
        <v>-657763.67085453775</v>
      </c>
      <c r="M39" s="89"/>
    </row>
    <row r="40" spans="2:13" x14ac:dyDescent="0.2">
      <c r="E40" s="52"/>
      <c r="F40" s="52"/>
      <c r="G40" s="52"/>
      <c r="H40" s="52"/>
    </row>
    <row r="41" spans="2:13" x14ac:dyDescent="0.2">
      <c r="K41" s="96"/>
    </row>
    <row r="42" spans="2:13" x14ac:dyDescent="0.2">
      <c r="K42" s="96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6"/>
  <sheetViews>
    <sheetView zoomScale="85" workbookViewId="0">
      <pane xSplit="2" ySplit="4" topLeftCell="F98" activePane="bottomRight" state="frozen"/>
      <selection pane="topRight" activeCell="C1" sqref="C1"/>
      <selection pane="bottomLeft" activeCell="A5" sqref="A5"/>
      <selection pane="bottomRight" activeCell="N114" sqref="N114"/>
    </sheetView>
  </sheetViews>
  <sheetFormatPr defaultColWidth="8.7109375" defaultRowHeight="12.75" x14ac:dyDescent="0.2"/>
  <cols>
    <col min="1" max="1" width="19.140625" style="1" customWidth="1"/>
    <col min="2" max="2" width="28.5703125" style="1" bestFit="1" customWidth="1"/>
    <col min="3" max="14" width="15.42578125" style="1" bestFit="1" customWidth="1"/>
    <col min="15" max="15" width="10.5703125" style="1" bestFit="1" customWidth="1"/>
    <col min="16" max="16384" width="8.7109375" style="1"/>
  </cols>
  <sheetData>
    <row r="3" spans="1:15" x14ac:dyDescent="0.2">
      <c r="A3" s="97"/>
      <c r="B3" s="98"/>
      <c r="C3" s="99" t="s">
        <v>53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100"/>
    </row>
    <row r="4" spans="1:15" x14ac:dyDescent="0.2">
      <c r="A4" s="99" t="s">
        <v>0</v>
      </c>
      <c r="B4" s="99" t="s">
        <v>24</v>
      </c>
      <c r="C4" s="101">
        <v>44562</v>
      </c>
      <c r="D4" s="102">
        <v>44593</v>
      </c>
      <c r="E4" s="102">
        <v>44621</v>
      </c>
      <c r="F4" s="102">
        <v>44652</v>
      </c>
      <c r="G4" s="102">
        <v>44682</v>
      </c>
      <c r="H4" s="102">
        <v>44713</v>
      </c>
      <c r="I4" s="102">
        <v>44743</v>
      </c>
      <c r="J4" s="102">
        <v>44774</v>
      </c>
      <c r="K4" s="102">
        <v>44805</v>
      </c>
      <c r="L4" s="102">
        <v>44835</v>
      </c>
      <c r="M4" s="102">
        <v>44866</v>
      </c>
      <c r="N4" s="102">
        <v>44896</v>
      </c>
      <c r="O4" s="103" t="s">
        <v>18</v>
      </c>
    </row>
    <row r="5" spans="1:15" x14ac:dyDescent="0.2">
      <c r="A5" s="97" t="s">
        <v>14</v>
      </c>
      <c r="B5" s="97" t="s">
        <v>70</v>
      </c>
      <c r="C5" s="104">
        <v>6498.7021189126835</v>
      </c>
      <c r="D5" s="105">
        <v>5792.7960656825262</v>
      </c>
      <c r="E5" s="105">
        <v>5094.1673944444328</v>
      </c>
      <c r="F5" s="105">
        <v>3995.2827136428477</v>
      </c>
      <c r="G5" s="105">
        <v>5479.8686400237966</v>
      </c>
      <c r="H5" s="105">
        <v>6855.2938365237933</v>
      </c>
      <c r="I5" s="105">
        <v>7539.3677437777606</v>
      </c>
      <c r="J5" s="105">
        <v>6942.6224204285554</v>
      </c>
      <c r="K5" s="105">
        <v>6258.5485131745882</v>
      </c>
      <c r="L5" s="105">
        <v>4286.3779933253863</v>
      </c>
      <c r="M5" s="105">
        <v>5312.4888542063363</v>
      </c>
      <c r="N5" s="105">
        <v>8172.4999770872828</v>
      </c>
      <c r="O5" s="106">
        <v>72228.016271229993</v>
      </c>
    </row>
    <row r="6" spans="1:15" x14ac:dyDescent="0.2">
      <c r="A6" s="229"/>
      <c r="B6" s="107" t="s">
        <v>25</v>
      </c>
      <c r="C6" s="241">
        <v>-5320.9825111393375</v>
      </c>
      <c r="D6" s="242">
        <v>-4743.0034477792988</v>
      </c>
      <c r="E6" s="242">
        <v>-4170.9829314642075</v>
      </c>
      <c r="F6" s="242">
        <v>-3271.2423276769277</v>
      </c>
      <c r="G6" s="242">
        <v>-4486.7859248464974</v>
      </c>
      <c r="H6" s="242">
        <v>-5612.9513163418324</v>
      </c>
      <c r="I6" s="242">
        <v>-6173.0547385670252</v>
      </c>
      <c r="J6" s="242">
        <v>-5684.4538808812194</v>
      </c>
      <c r="K6" s="242">
        <v>-5124.3504586560266</v>
      </c>
      <c r="L6" s="242">
        <v>-3509.5842094748832</v>
      </c>
      <c r="M6" s="242">
        <v>-4349.7393428126743</v>
      </c>
      <c r="N6" s="242">
        <v>-6691.448331477578</v>
      </c>
      <c r="O6" s="243">
        <v>-59138.579421117509</v>
      </c>
    </row>
    <row r="7" spans="1:15" x14ac:dyDescent="0.2">
      <c r="A7" s="229"/>
      <c r="B7" s="107" t="s">
        <v>26</v>
      </c>
      <c r="C7" s="241">
        <v>-290.56341309306208</v>
      </c>
      <c r="D7" s="242">
        <v>-259.00165377612257</v>
      </c>
      <c r="E7" s="242">
        <v>-227.76527342121329</v>
      </c>
      <c r="F7" s="242">
        <v>-178.63305015463729</v>
      </c>
      <c r="G7" s="242">
        <v>-245.01035840881943</v>
      </c>
      <c r="H7" s="242">
        <v>-306.50698223254705</v>
      </c>
      <c r="I7" s="242">
        <v>-337.09260466339566</v>
      </c>
      <c r="J7" s="242">
        <v>-310.4115297769107</v>
      </c>
      <c r="K7" s="242">
        <v>-279.82590734606208</v>
      </c>
      <c r="L7" s="242">
        <v>-191.64820863584947</v>
      </c>
      <c r="M7" s="242">
        <v>-237.52664228212245</v>
      </c>
      <c r="N7" s="242">
        <v>-365.40057436003218</v>
      </c>
      <c r="O7" s="243">
        <v>-3229.3861981507744</v>
      </c>
    </row>
    <row r="8" spans="1:15" x14ac:dyDescent="0.2">
      <c r="A8" s="229"/>
      <c r="B8" s="107" t="s">
        <v>27</v>
      </c>
      <c r="C8" s="241">
        <v>-5611.5459242323996</v>
      </c>
      <c r="D8" s="242">
        <v>-5002.0051015554218</v>
      </c>
      <c r="E8" s="242">
        <v>-4398.7482048854208</v>
      </c>
      <c r="F8" s="242">
        <v>-3449.8753778315649</v>
      </c>
      <c r="G8" s="242">
        <v>-4731.7962832553167</v>
      </c>
      <c r="H8" s="242">
        <v>-5919.4582985743791</v>
      </c>
      <c r="I8" s="242">
        <v>-6510.147343230421</v>
      </c>
      <c r="J8" s="242">
        <v>-5994.8654106581298</v>
      </c>
      <c r="K8" s="242">
        <v>-5404.1763660020888</v>
      </c>
      <c r="L8" s="242">
        <v>-3701.2324181107329</v>
      </c>
      <c r="M8" s="242">
        <v>-4587.2659850947966</v>
      </c>
      <c r="N8" s="242">
        <v>-7056.8489058376099</v>
      </c>
      <c r="O8" s="243">
        <v>-62367.965619268281</v>
      </c>
    </row>
    <row r="9" spans="1:15" x14ac:dyDescent="0.2">
      <c r="A9" s="229"/>
      <c r="B9" s="107" t="s">
        <v>49</v>
      </c>
      <c r="C9" s="108">
        <v>11819.684630052021</v>
      </c>
      <c r="D9" s="96">
        <v>10535.799513461825</v>
      </c>
      <c r="E9" s="96">
        <v>9265.1503259086403</v>
      </c>
      <c r="F9" s="96">
        <v>7266.5250413197755</v>
      </c>
      <c r="G9" s="96">
        <v>9966.6545648702941</v>
      </c>
      <c r="H9" s="96">
        <v>12468.245152865626</v>
      </c>
      <c r="I9" s="96">
        <v>13712.422482344786</v>
      </c>
      <c r="J9" s="96">
        <v>12627.076301309775</v>
      </c>
      <c r="K9" s="96">
        <v>11382.898971830615</v>
      </c>
      <c r="L9" s="96">
        <v>7795.9622028002696</v>
      </c>
      <c r="M9" s="96">
        <v>9662.2281970190106</v>
      </c>
      <c r="N9" s="96">
        <v>14863.948308564861</v>
      </c>
      <c r="O9" s="109">
        <v>131366.59569234747</v>
      </c>
    </row>
    <row r="10" spans="1:15" x14ac:dyDescent="0.2">
      <c r="A10" s="229"/>
      <c r="B10" s="107" t="s">
        <v>87</v>
      </c>
      <c r="C10" s="108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109">
        <v>0</v>
      </c>
    </row>
    <row r="11" spans="1:15" x14ac:dyDescent="0.2">
      <c r="A11" s="229"/>
      <c r="B11" s="107" t="s">
        <v>89</v>
      </c>
      <c r="C11" s="108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109">
        <v>0</v>
      </c>
    </row>
    <row r="12" spans="1:15" x14ac:dyDescent="0.2">
      <c r="A12" s="97" t="s">
        <v>17</v>
      </c>
      <c r="B12" s="97" t="s">
        <v>70</v>
      </c>
      <c r="C12" s="104">
        <v>771.40249115872837</v>
      </c>
      <c r="D12" s="105">
        <v>735.01558119841093</v>
      </c>
      <c r="E12" s="105">
        <v>705.90605323015711</v>
      </c>
      <c r="F12" s="105">
        <v>713.18343522222051</v>
      </c>
      <c r="G12" s="105">
        <v>756.84772717460146</v>
      </c>
      <c r="H12" s="105">
        <v>836.89892908729962</v>
      </c>
      <c r="I12" s="105">
        <v>305.65004366666597</v>
      </c>
      <c r="J12" s="105">
        <v>298.37266167460245</v>
      </c>
      <c r="K12" s="105">
        <v>836.89892908729962</v>
      </c>
      <c r="L12" s="105">
        <v>764.12510916666486</v>
      </c>
      <c r="M12" s="105">
        <v>756.84772717460146</v>
      </c>
      <c r="N12" s="105">
        <v>756.84772717460146</v>
      </c>
      <c r="O12" s="106">
        <v>8237.9964150158521</v>
      </c>
    </row>
    <row r="13" spans="1:15" x14ac:dyDescent="0.2">
      <c r="A13" s="229"/>
      <c r="B13" s="107" t="s">
        <v>25</v>
      </c>
      <c r="C13" s="241">
        <v>-631.60598676457982</v>
      </c>
      <c r="D13" s="242">
        <v>-601.81325153983562</v>
      </c>
      <c r="E13" s="242">
        <v>-577.97906336004007</v>
      </c>
      <c r="F13" s="242">
        <v>-583.93761040498896</v>
      </c>
      <c r="G13" s="242">
        <v>-619.68889267468217</v>
      </c>
      <c r="H13" s="242">
        <v>-685.2329101691198</v>
      </c>
      <c r="I13" s="242">
        <v>-250.25897588785244</v>
      </c>
      <c r="J13" s="242">
        <v>-244.30042884290356</v>
      </c>
      <c r="K13" s="242">
        <v>-685.2329101691198</v>
      </c>
      <c r="L13" s="242">
        <v>-625.64743971963105</v>
      </c>
      <c r="M13" s="242">
        <v>-619.68889267468217</v>
      </c>
      <c r="N13" s="242">
        <v>-619.68889267468217</v>
      </c>
      <c r="O13" s="243">
        <v>-6745.0752548821183</v>
      </c>
    </row>
    <row r="14" spans="1:15" x14ac:dyDescent="0.2">
      <c r="A14" s="229"/>
      <c r="B14" s="107" t="s">
        <v>26</v>
      </c>
      <c r="C14" s="241">
        <v>-34.490169975212297</v>
      </c>
      <c r="D14" s="242">
        <v>-32.863275165060777</v>
      </c>
      <c r="E14" s="242">
        <v>-31.561759316939554</v>
      </c>
      <c r="F14" s="242">
        <v>-31.887138278969861</v>
      </c>
      <c r="G14" s="242">
        <v>-33.83941205115169</v>
      </c>
      <c r="H14" s="242">
        <v>-37.418580633485043</v>
      </c>
      <c r="I14" s="242">
        <v>-13.665916405272798</v>
      </c>
      <c r="J14" s="242">
        <v>-13.340537443242491</v>
      </c>
      <c r="K14" s="242">
        <v>-37.418580633485043</v>
      </c>
      <c r="L14" s="242">
        <v>-34.164791013181997</v>
      </c>
      <c r="M14" s="242">
        <v>-33.83941205115169</v>
      </c>
      <c r="N14" s="242">
        <v>-33.83941205115169</v>
      </c>
      <c r="O14" s="243">
        <v>-368.32898501830493</v>
      </c>
    </row>
    <row r="15" spans="1:15" x14ac:dyDescent="0.2">
      <c r="A15" s="229"/>
      <c r="B15" s="107" t="s">
        <v>27</v>
      </c>
      <c r="C15" s="241">
        <v>-666.09615673979215</v>
      </c>
      <c r="D15" s="242">
        <v>-634.67652670489645</v>
      </c>
      <c r="E15" s="242">
        <v>-609.54082267697959</v>
      </c>
      <c r="F15" s="242">
        <v>-615.82474868395877</v>
      </c>
      <c r="G15" s="242">
        <v>-653.52830472583389</v>
      </c>
      <c r="H15" s="242">
        <v>-722.65149080260483</v>
      </c>
      <c r="I15" s="242">
        <v>-263.92489229312525</v>
      </c>
      <c r="J15" s="242">
        <v>-257.64096628614607</v>
      </c>
      <c r="K15" s="242">
        <v>-722.65149080260483</v>
      </c>
      <c r="L15" s="242">
        <v>-659.81223073281308</v>
      </c>
      <c r="M15" s="242">
        <v>-653.52830472583389</v>
      </c>
      <c r="N15" s="242">
        <v>-653.52830472583389</v>
      </c>
      <c r="O15" s="243">
        <v>-7113.404239900422</v>
      </c>
    </row>
    <row r="16" spans="1:15" x14ac:dyDescent="0.2">
      <c r="A16" s="229"/>
      <c r="B16" s="107" t="s">
        <v>49</v>
      </c>
      <c r="C16" s="108">
        <v>1403.0084779233082</v>
      </c>
      <c r="D16" s="96">
        <v>1336.8288327382465</v>
      </c>
      <c r="E16" s="96">
        <v>1283.8851165901972</v>
      </c>
      <c r="F16" s="96">
        <v>1297.1210456272095</v>
      </c>
      <c r="G16" s="96">
        <v>1376.5366198492836</v>
      </c>
      <c r="H16" s="96">
        <v>1522.1318392564194</v>
      </c>
      <c r="I16" s="96">
        <v>555.90901955451841</v>
      </c>
      <c r="J16" s="96">
        <v>542.67309051750601</v>
      </c>
      <c r="K16" s="96">
        <v>1522.1318392564194</v>
      </c>
      <c r="L16" s="96">
        <v>1389.7725488862959</v>
      </c>
      <c r="M16" s="96">
        <v>1376.5366198492836</v>
      </c>
      <c r="N16" s="96">
        <v>1376.5366198492836</v>
      </c>
      <c r="O16" s="109">
        <v>14983.071669897969</v>
      </c>
    </row>
    <row r="17" spans="1:15" x14ac:dyDescent="0.2">
      <c r="A17" s="229"/>
      <c r="B17" s="107" t="s">
        <v>87</v>
      </c>
      <c r="C17" s="108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109">
        <v>0</v>
      </c>
    </row>
    <row r="18" spans="1:15" x14ac:dyDescent="0.2">
      <c r="A18" s="229"/>
      <c r="B18" s="107" t="s">
        <v>89</v>
      </c>
      <c r="C18" s="108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109">
        <v>0</v>
      </c>
    </row>
    <row r="19" spans="1:15" x14ac:dyDescent="0.2">
      <c r="A19" s="97" t="s">
        <v>13</v>
      </c>
      <c r="B19" s="97" t="s">
        <v>70</v>
      </c>
      <c r="C19" s="104">
        <v>7604.8641817063317</v>
      </c>
      <c r="D19" s="105">
        <v>8107.0035391587107</v>
      </c>
      <c r="E19" s="105">
        <v>7110.0022062460148</v>
      </c>
      <c r="F19" s="105">
        <v>3922.5088937222131</v>
      </c>
      <c r="G19" s="105">
        <v>5487.1460220158606</v>
      </c>
      <c r="H19" s="105">
        <v>6884.4033644920473</v>
      </c>
      <c r="I19" s="105">
        <v>7124.5569702301418</v>
      </c>
      <c r="J19" s="105">
        <v>7080.8926782777608</v>
      </c>
      <c r="K19" s="105">
        <v>6163.942547277763</v>
      </c>
      <c r="L19" s="105">
        <v>4431.9256331666566</v>
      </c>
      <c r="M19" s="105">
        <v>5872.8472675952244</v>
      </c>
      <c r="N19" s="105">
        <v>10435.765776619022</v>
      </c>
      <c r="O19" s="106">
        <v>80225.859080507755</v>
      </c>
    </row>
    <row r="20" spans="1:15" x14ac:dyDescent="0.2">
      <c r="A20" s="229"/>
      <c r="B20" s="107" t="s">
        <v>25</v>
      </c>
      <c r="C20" s="241">
        <v>-6226.6816619715655</v>
      </c>
      <c r="D20" s="242">
        <v>-6637.8214080730386</v>
      </c>
      <c r="E20" s="242">
        <v>-5821.5004629150435</v>
      </c>
      <c r="F20" s="242">
        <v>-3211.6568572274396</v>
      </c>
      <c r="G20" s="242">
        <v>-4492.7444718914448</v>
      </c>
      <c r="H20" s="242">
        <v>-5636.7855045216274</v>
      </c>
      <c r="I20" s="242">
        <v>-5833.417557004941</v>
      </c>
      <c r="J20" s="242">
        <v>-5797.6662747352484</v>
      </c>
      <c r="K20" s="242">
        <v>-5046.8893470716912</v>
      </c>
      <c r="L20" s="242">
        <v>-3628.7551503738596</v>
      </c>
      <c r="M20" s="242">
        <v>-4808.5474652737366</v>
      </c>
      <c r="N20" s="242">
        <v>-8544.5564624566778</v>
      </c>
      <c r="O20" s="243">
        <v>-65687.022623516314</v>
      </c>
    </row>
    <row r="21" spans="1:15" x14ac:dyDescent="0.2">
      <c r="A21" s="229"/>
      <c r="B21" s="107" t="s">
        <v>26</v>
      </c>
      <c r="C21" s="241">
        <v>-340.02101532166841</v>
      </c>
      <c r="D21" s="242">
        <v>-362.47216370175943</v>
      </c>
      <c r="E21" s="242">
        <v>-317.8952459036077</v>
      </c>
      <c r="F21" s="242">
        <v>-175.37926053433424</v>
      </c>
      <c r="G21" s="242">
        <v>-245.33573737084976</v>
      </c>
      <c r="H21" s="242">
        <v>-307.80849808066824</v>
      </c>
      <c r="I21" s="242">
        <v>-318.5460038276683</v>
      </c>
      <c r="J21" s="242">
        <v>-316.59373005548645</v>
      </c>
      <c r="K21" s="242">
        <v>-275.59598083966807</v>
      </c>
      <c r="L21" s="242">
        <v>-198.15578787645558</v>
      </c>
      <c r="M21" s="242">
        <v>-262.58082235845586</v>
      </c>
      <c r="N21" s="242">
        <v>-466.59343155145689</v>
      </c>
      <c r="O21" s="243">
        <v>-3586.9776774220791</v>
      </c>
    </row>
    <row r="22" spans="1:15" x14ac:dyDescent="0.2">
      <c r="A22" s="229"/>
      <c r="B22" s="107" t="s">
        <v>27</v>
      </c>
      <c r="C22" s="241">
        <v>-6566.702677293234</v>
      </c>
      <c r="D22" s="242">
        <v>-7000.2935717747978</v>
      </c>
      <c r="E22" s="242">
        <v>-6139.3957088186507</v>
      </c>
      <c r="F22" s="242">
        <v>-3387.0361177617738</v>
      </c>
      <c r="G22" s="242">
        <v>-4738.0802092622944</v>
      </c>
      <c r="H22" s="242">
        <v>-5944.5940026022954</v>
      </c>
      <c r="I22" s="242">
        <v>-6151.9635608326098</v>
      </c>
      <c r="J22" s="242">
        <v>-6114.2600047907345</v>
      </c>
      <c r="K22" s="242">
        <v>-5322.4853279113595</v>
      </c>
      <c r="L22" s="242">
        <v>-3826.9109382503152</v>
      </c>
      <c r="M22" s="242">
        <v>-5071.128287632193</v>
      </c>
      <c r="N22" s="242">
        <v>-9011.1498940081347</v>
      </c>
      <c r="O22" s="243">
        <v>-69274.000300938395</v>
      </c>
    </row>
    <row r="23" spans="1:15" x14ac:dyDescent="0.2">
      <c r="A23" s="229"/>
      <c r="B23" s="107" t="s">
        <v>49</v>
      </c>
      <c r="C23" s="108">
        <v>13831.545843677897</v>
      </c>
      <c r="D23" s="96">
        <v>14744.824947231749</v>
      </c>
      <c r="E23" s="96">
        <v>12931.502669161058</v>
      </c>
      <c r="F23" s="96">
        <v>7134.1657509496526</v>
      </c>
      <c r="G23" s="96">
        <v>9979.8904939073054</v>
      </c>
      <c r="H23" s="96">
        <v>12521.188869013675</v>
      </c>
      <c r="I23" s="96">
        <v>12957.974527235083</v>
      </c>
      <c r="J23" s="96">
        <v>12878.558953013009</v>
      </c>
      <c r="K23" s="96">
        <v>11210.831894349454</v>
      </c>
      <c r="L23" s="96">
        <v>8060.6807835405161</v>
      </c>
      <c r="M23" s="96">
        <v>10681.394732868961</v>
      </c>
      <c r="N23" s="96">
        <v>18980.3222390757</v>
      </c>
      <c r="O23" s="109">
        <v>145912.88170402407</v>
      </c>
    </row>
    <row r="24" spans="1:15" x14ac:dyDescent="0.2">
      <c r="A24" s="229"/>
      <c r="B24" s="107" t="s">
        <v>87</v>
      </c>
      <c r="C24" s="108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109">
        <v>0</v>
      </c>
    </row>
    <row r="25" spans="1:15" x14ac:dyDescent="0.2">
      <c r="A25" s="229"/>
      <c r="B25" s="107" t="s">
        <v>89</v>
      </c>
      <c r="C25" s="108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109">
        <v>0</v>
      </c>
    </row>
    <row r="26" spans="1:15" x14ac:dyDescent="0.2">
      <c r="A26" s="97" t="s">
        <v>15</v>
      </c>
      <c r="B26" s="97" t="s">
        <v>70</v>
      </c>
      <c r="C26" s="104">
        <v>58.2190559365078</v>
      </c>
      <c r="D26" s="105">
        <v>50.941673944444325</v>
      </c>
      <c r="E26" s="105">
        <v>36.386909960317375</v>
      </c>
      <c r="F26" s="105">
        <v>50.941673944444325</v>
      </c>
      <c r="G26" s="105">
        <v>72.77381992063475</v>
      </c>
      <c r="H26" s="105">
        <v>101.88334788888865</v>
      </c>
      <c r="I26" s="105">
        <v>130.99287585714256</v>
      </c>
      <c r="J26" s="105">
        <v>116.4381118730156</v>
      </c>
      <c r="K26" s="105">
        <v>65.496437928571282</v>
      </c>
      <c r="L26" s="105">
        <v>43.66429195238085</v>
      </c>
      <c r="M26" s="105">
        <v>43.66429195238085</v>
      </c>
      <c r="N26" s="105">
        <v>58.2190559365078</v>
      </c>
      <c r="O26" s="106">
        <v>829.62154709523611</v>
      </c>
    </row>
    <row r="27" spans="1:15" x14ac:dyDescent="0.2">
      <c r="A27" s="229"/>
      <c r="B27" s="107" t="s">
        <v>25</v>
      </c>
      <c r="C27" s="241">
        <v>-47.668376359590937</v>
      </c>
      <c r="D27" s="242">
        <v>-41.709829314642072</v>
      </c>
      <c r="E27" s="242">
        <v>-29.792735224744341</v>
      </c>
      <c r="F27" s="242">
        <v>-41.709829314642072</v>
      </c>
      <c r="G27" s="242">
        <v>-59.585470449488682</v>
      </c>
      <c r="H27" s="242">
        <v>-83.419658629284143</v>
      </c>
      <c r="I27" s="242">
        <v>-107.25384680907959</v>
      </c>
      <c r="J27" s="242">
        <v>-95.336752719181874</v>
      </c>
      <c r="K27" s="242">
        <v>-53.626923404539795</v>
      </c>
      <c r="L27" s="242">
        <v>-35.751282269693206</v>
      </c>
      <c r="M27" s="242">
        <v>-35.751282269693206</v>
      </c>
      <c r="N27" s="242">
        <v>-47.668376359590937</v>
      </c>
      <c r="O27" s="243">
        <v>-679.2743631241708</v>
      </c>
    </row>
    <row r="28" spans="1:15" x14ac:dyDescent="0.2">
      <c r="A28" s="229"/>
      <c r="B28" s="107" t="s">
        <v>26</v>
      </c>
      <c r="C28" s="241">
        <v>-2.6030316962424376</v>
      </c>
      <c r="D28" s="242">
        <v>-2.2776527342121327</v>
      </c>
      <c r="E28" s="242">
        <v>-1.6268948101515235</v>
      </c>
      <c r="F28" s="242">
        <v>-2.2776527342121327</v>
      </c>
      <c r="G28" s="242">
        <v>-3.253789620303047</v>
      </c>
      <c r="H28" s="242">
        <v>-4.5553054684242653</v>
      </c>
      <c r="I28" s="242">
        <v>-5.856821316545485</v>
      </c>
      <c r="J28" s="242">
        <v>-5.2060633924848752</v>
      </c>
      <c r="K28" s="242">
        <v>-2.9284106582727425</v>
      </c>
      <c r="L28" s="242">
        <v>-1.9522737721818282</v>
      </c>
      <c r="M28" s="242">
        <v>-1.9522737721818282</v>
      </c>
      <c r="N28" s="242">
        <v>-2.6030316962424376</v>
      </c>
      <c r="O28" s="243">
        <v>-37.093201671454736</v>
      </c>
    </row>
    <row r="29" spans="1:15" x14ac:dyDescent="0.2">
      <c r="A29" s="229"/>
      <c r="B29" s="107" t="s">
        <v>27</v>
      </c>
      <c r="C29" s="241">
        <v>-50.271408055833376</v>
      </c>
      <c r="D29" s="242">
        <v>-43.987482048854204</v>
      </c>
      <c r="E29" s="242">
        <v>-31.419630034895864</v>
      </c>
      <c r="F29" s="242">
        <v>-43.987482048854204</v>
      </c>
      <c r="G29" s="242">
        <v>-62.839260069791727</v>
      </c>
      <c r="H29" s="242">
        <v>-87.974964097708408</v>
      </c>
      <c r="I29" s="242">
        <v>-113.11066812562507</v>
      </c>
      <c r="J29" s="242">
        <v>-100.54281611166675</v>
      </c>
      <c r="K29" s="242">
        <v>-56.555334062812534</v>
      </c>
      <c r="L29" s="242">
        <v>-37.703556041875032</v>
      </c>
      <c r="M29" s="242">
        <v>-37.703556041875032</v>
      </c>
      <c r="N29" s="242">
        <v>-50.271408055833376</v>
      </c>
      <c r="O29" s="243">
        <v>-716.36756479562553</v>
      </c>
    </row>
    <row r="30" spans="1:15" x14ac:dyDescent="0.2">
      <c r="A30" s="229"/>
      <c r="B30" s="107" t="s">
        <v>49</v>
      </c>
      <c r="C30" s="108">
        <v>105.88743229609874</v>
      </c>
      <c r="D30" s="96">
        <v>92.651503259086397</v>
      </c>
      <c r="E30" s="96">
        <v>66.179645185061716</v>
      </c>
      <c r="F30" s="96">
        <v>92.651503259086397</v>
      </c>
      <c r="G30" s="96">
        <v>132.35929037012343</v>
      </c>
      <c r="H30" s="96">
        <v>185.30300651817279</v>
      </c>
      <c r="I30" s="96">
        <v>238.24672266622215</v>
      </c>
      <c r="J30" s="96">
        <v>211.77486459219747</v>
      </c>
      <c r="K30" s="96">
        <v>119.12336133311108</v>
      </c>
      <c r="L30" s="96">
        <v>79.415574222074056</v>
      </c>
      <c r="M30" s="96">
        <v>79.415574222074056</v>
      </c>
      <c r="N30" s="96">
        <v>105.88743229609874</v>
      </c>
      <c r="O30" s="109">
        <v>1508.8959102194071</v>
      </c>
    </row>
    <row r="31" spans="1:15" x14ac:dyDescent="0.2">
      <c r="A31" s="229"/>
      <c r="B31" s="107" t="s">
        <v>87</v>
      </c>
      <c r="C31" s="108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109">
        <v>0</v>
      </c>
    </row>
    <row r="32" spans="1:15" x14ac:dyDescent="0.2">
      <c r="A32" s="229"/>
      <c r="B32" s="107" t="s">
        <v>89</v>
      </c>
      <c r="C32" s="108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109">
        <v>0</v>
      </c>
    </row>
    <row r="33" spans="1:15" x14ac:dyDescent="0.2">
      <c r="A33" s="97" t="s">
        <v>16</v>
      </c>
      <c r="B33" s="97" t="s">
        <v>70</v>
      </c>
      <c r="C33" s="104">
        <v>21.832145976190425</v>
      </c>
      <c r="D33" s="105">
        <v>14.55476398412695</v>
      </c>
      <c r="E33" s="105">
        <v>21.832145976190425</v>
      </c>
      <c r="F33" s="105">
        <v>14.55476398412695</v>
      </c>
      <c r="G33" s="105">
        <v>21.832145976190425</v>
      </c>
      <c r="H33" s="105">
        <v>36.386909960317375</v>
      </c>
      <c r="I33" s="105">
        <v>43.66429195238085</v>
      </c>
      <c r="J33" s="105">
        <v>43.66429195238085</v>
      </c>
      <c r="K33" s="105">
        <v>21.832145976190425</v>
      </c>
      <c r="L33" s="105">
        <v>14.55476398412695</v>
      </c>
      <c r="M33" s="105">
        <v>7.277381992063475</v>
      </c>
      <c r="N33" s="105">
        <v>29.1095279682539</v>
      </c>
      <c r="O33" s="106">
        <v>291.09527968253894</v>
      </c>
    </row>
    <row r="34" spans="1:15" x14ac:dyDescent="0.2">
      <c r="A34" s="229"/>
      <c r="B34" s="107" t="s">
        <v>25</v>
      </c>
      <c r="C34" s="241">
        <v>-17.875641134846603</v>
      </c>
      <c r="D34" s="242">
        <v>-11.917094089897734</v>
      </c>
      <c r="E34" s="242">
        <v>-17.875641134846603</v>
      </c>
      <c r="F34" s="242">
        <v>-11.917094089897734</v>
      </c>
      <c r="G34" s="242">
        <v>-17.875641134846603</v>
      </c>
      <c r="H34" s="242">
        <v>-29.792735224744341</v>
      </c>
      <c r="I34" s="242">
        <v>-35.751282269693206</v>
      </c>
      <c r="J34" s="242">
        <v>-35.751282269693206</v>
      </c>
      <c r="K34" s="242">
        <v>-17.875641134846603</v>
      </c>
      <c r="L34" s="242">
        <v>-11.917094089897734</v>
      </c>
      <c r="M34" s="242">
        <v>-5.9585470449488671</v>
      </c>
      <c r="N34" s="242">
        <v>-23.834188179795468</v>
      </c>
      <c r="O34" s="243">
        <v>-238.3418817979547</v>
      </c>
    </row>
    <row r="35" spans="1:15" x14ac:dyDescent="0.2">
      <c r="A35" s="229"/>
      <c r="B35" s="107" t="s">
        <v>26</v>
      </c>
      <c r="C35" s="241">
        <v>-0.97613688609091409</v>
      </c>
      <c r="D35" s="242">
        <v>-0.65075792406060939</v>
      </c>
      <c r="E35" s="242">
        <v>-0.97613688609091409</v>
      </c>
      <c r="F35" s="242">
        <v>-0.65075792406060939</v>
      </c>
      <c r="G35" s="242">
        <v>-0.97613688609091409</v>
      </c>
      <c r="H35" s="242">
        <v>-1.6268948101515235</v>
      </c>
      <c r="I35" s="242">
        <v>-1.9522737721818282</v>
      </c>
      <c r="J35" s="242">
        <v>-1.9522737721818282</v>
      </c>
      <c r="K35" s="242">
        <v>-0.97613688609091409</v>
      </c>
      <c r="L35" s="242">
        <v>-0.65075792406060939</v>
      </c>
      <c r="M35" s="242">
        <v>-0.3253789620303047</v>
      </c>
      <c r="N35" s="242">
        <v>-1.3015158481212188</v>
      </c>
      <c r="O35" s="243">
        <v>-13.01515848121219</v>
      </c>
    </row>
    <row r="36" spans="1:15" x14ac:dyDescent="0.2">
      <c r="A36" s="229"/>
      <c r="B36" s="107" t="s">
        <v>27</v>
      </c>
      <c r="C36" s="241">
        <v>-18.851778020937516</v>
      </c>
      <c r="D36" s="242">
        <v>-12.567852013958344</v>
      </c>
      <c r="E36" s="242">
        <v>-18.851778020937516</v>
      </c>
      <c r="F36" s="242">
        <v>-12.567852013958344</v>
      </c>
      <c r="G36" s="242">
        <v>-18.851778020937516</v>
      </c>
      <c r="H36" s="242">
        <v>-31.419630034895864</v>
      </c>
      <c r="I36" s="242">
        <v>-37.703556041875032</v>
      </c>
      <c r="J36" s="242">
        <v>-37.703556041875032</v>
      </c>
      <c r="K36" s="242">
        <v>-18.851778020937516</v>
      </c>
      <c r="L36" s="242">
        <v>-12.567852013958344</v>
      </c>
      <c r="M36" s="242">
        <v>-6.283926006979172</v>
      </c>
      <c r="N36" s="242">
        <v>-25.135704027916688</v>
      </c>
      <c r="O36" s="243">
        <v>-251.35704027916688</v>
      </c>
    </row>
    <row r="37" spans="1:15" x14ac:dyDescent="0.2">
      <c r="A37" s="229"/>
      <c r="B37" s="107" t="s">
        <v>49</v>
      </c>
      <c r="C37" s="108">
        <v>39.707787111037028</v>
      </c>
      <c r="D37" s="96">
        <v>26.471858074024684</v>
      </c>
      <c r="E37" s="96">
        <v>39.707787111037028</v>
      </c>
      <c r="F37" s="96">
        <v>26.471858074024684</v>
      </c>
      <c r="G37" s="96">
        <v>39.707787111037028</v>
      </c>
      <c r="H37" s="96">
        <v>66.179645185061716</v>
      </c>
      <c r="I37" s="96">
        <v>79.415574222074056</v>
      </c>
      <c r="J37" s="96">
        <v>79.415574222074056</v>
      </c>
      <c r="K37" s="96">
        <v>39.707787111037028</v>
      </c>
      <c r="L37" s="96">
        <v>26.471858074024684</v>
      </c>
      <c r="M37" s="96">
        <v>13.235929037012342</v>
      </c>
      <c r="N37" s="96">
        <v>52.943716148049369</v>
      </c>
      <c r="O37" s="109">
        <v>529.43716148049373</v>
      </c>
    </row>
    <row r="38" spans="1:15" x14ac:dyDescent="0.2">
      <c r="A38" s="229"/>
      <c r="B38" s="107" t="s">
        <v>87</v>
      </c>
      <c r="C38" s="108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109">
        <v>0</v>
      </c>
    </row>
    <row r="39" spans="1:15" x14ac:dyDescent="0.2">
      <c r="A39" s="229"/>
      <c r="B39" s="107" t="s">
        <v>89</v>
      </c>
      <c r="C39" s="108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109">
        <v>0</v>
      </c>
    </row>
    <row r="40" spans="1:15" x14ac:dyDescent="0.2">
      <c r="A40" s="97" t="s">
        <v>19</v>
      </c>
      <c r="B40" s="97" t="s">
        <v>70</v>
      </c>
      <c r="C40" s="104">
        <v>305.65004366666597</v>
      </c>
      <c r="D40" s="105">
        <v>312.92742565872942</v>
      </c>
      <c r="E40" s="105">
        <v>305.65004366666597</v>
      </c>
      <c r="F40" s="105">
        <v>378.42386358730073</v>
      </c>
      <c r="G40" s="105">
        <v>378.42386358730073</v>
      </c>
      <c r="H40" s="105">
        <v>407.5333915555546</v>
      </c>
      <c r="I40" s="105">
        <v>422.08815553968157</v>
      </c>
      <c r="J40" s="105">
        <v>436.64291952380847</v>
      </c>
      <c r="K40" s="105">
        <v>422.08815553968157</v>
      </c>
      <c r="L40" s="105">
        <v>407.5333915555546</v>
      </c>
      <c r="M40" s="105">
        <v>429.36553753174502</v>
      </c>
      <c r="N40" s="105">
        <v>422.08815553968157</v>
      </c>
      <c r="O40" s="106">
        <v>4628.41494695237</v>
      </c>
    </row>
    <row r="41" spans="1:15" x14ac:dyDescent="0.2">
      <c r="A41" s="229"/>
      <c r="B41" s="107" t="s">
        <v>25</v>
      </c>
      <c r="C41" s="241">
        <v>-250.25897588785244</v>
      </c>
      <c r="D41" s="242">
        <v>-256.21752293280127</v>
      </c>
      <c r="E41" s="242">
        <v>-250.25897588785244</v>
      </c>
      <c r="F41" s="242">
        <v>-309.84444633734108</v>
      </c>
      <c r="G41" s="242">
        <v>-309.84444633734108</v>
      </c>
      <c r="H41" s="242">
        <v>-333.67863451713657</v>
      </c>
      <c r="I41" s="242">
        <v>-345.59572860703429</v>
      </c>
      <c r="J41" s="242">
        <v>-357.51282269693206</v>
      </c>
      <c r="K41" s="242">
        <v>-345.59572860703429</v>
      </c>
      <c r="L41" s="242">
        <v>-333.67863451713657</v>
      </c>
      <c r="M41" s="242">
        <v>-351.55427565198312</v>
      </c>
      <c r="N41" s="242">
        <v>-345.59572860703429</v>
      </c>
      <c r="O41" s="243">
        <v>-3789.6359205874792</v>
      </c>
    </row>
    <row r="42" spans="1:15" x14ac:dyDescent="0.2">
      <c r="A42" s="229"/>
      <c r="B42" s="107" t="s">
        <v>26</v>
      </c>
      <c r="C42" s="241">
        <v>-13.665916405272798</v>
      </c>
      <c r="D42" s="242">
        <v>-13.991295367303103</v>
      </c>
      <c r="E42" s="242">
        <v>-13.665916405272798</v>
      </c>
      <c r="F42" s="242">
        <v>-16.919706025575845</v>
      </c>
      <c r="G42" s="242">
        <v>-16.919706025575845</v>
      </c>
      <c r="H42" s="242">
        <v>-18.221221873697061</v>
      </c>
      <c r="I42" s="242">
        <v>-18.871979797757671</v>
      </c>
      <c r="J42" s="242">
        <v>-19.522737721818281</v>
      </c>
      <c r="K42" s="242">
        <v>-18.871979797757671</v>
      </c>
      <c r="L42" s="242">
        <v>-18.221221873697061</v>
      </c>
      <c r="M42" s="242">
        <v>-19.197358759787978</v>
      </c>
      <c r="N42" s="242">
        <v>-18.871979797757671</v>
      </c>
      <c r="O42" s="243">
        <v>-206.94101985127378</v>
      </c>
    </row>
    <row r="43" spans="1:15" x14ac:dyDescent="0.2">
      <c r="A43" s="229"/>
      <c r="B43" s="107" t="s">
        <v>27</v>
      </c>
      <c r="C43" s="241">
        <v>-263.92489229312525</v>
      </c>
      <c r="D43" s="242">
        <v>-270.20881830010438</v>
      </c>
      <c r="E43" s="242">
        <v>-263.92489229312525</v>
      </c>
      <c r="F43" s="242">
        <v>-326.76415236291695</v>
      </c>
      <c r="G43" s="242">
        <v>-326.76415236291695</v>
      </c>
      <c r="H43" s="242">
        <v>-351.89985639083363</v>
      </c>
      <c r="I43" s="242">
        <v>-364.46770840479195</v>
      </c>
      <c r="J43" s="242">
        <v>-377.03556041875032</v>
      </c>
      <c r="K43" s="242">
        <v>-364.46770840479195</v>
      </c>
      <c r="L43" s="242">
        <v>-351.89985639083363</v>
      </c>
      <c r="M43" s="242">
        <v>-370.75163441177108</v>
      </c>
      <c r="N43" s="242">
        <v>-364.46770840479195</v>
      </c>
      <c r="O43" s="243">
        <v>-3996.5769404387538</v>
      </c>
    </row>
    <row r="44" spans="1:15" x14ac:dyDescent="0.2">
      <c r="A44" s="229"/>
      <c r="B44" s="107" t="s">
        <v>49</v>
      </c>
      <c r="C44" s="108">
        <v>555.90901955451841</v>
      </c>
      <c r="D44" s="96">
        <v>569.14494859153069</v>
      </c>
      <c r="E44" s="96">
        <v>555.90901955451841</v>
      </c>
      <c r="F44" s="96">
        <v>688.26830992464181</v>
      </c>
      <c r="G44" s="96">
        <v>688.26830992464181</v>
      </c>
      <c r="H44" s="96">
        <v>741.21202607269117</v>
      </c>
      <c r="I44" s="96">
        <v>767.68388414671585</v>
      </c>
      <c r="J44" s="96">
        <v>794.15574222074054</v>
      </c>
      <c r="K44" s="96">
        <v>767.68388414671585</v>
      </c>
      <c r="L44" s="96">
        <v>741.21202607269117</v>
      </c>
      <c r="M44" s="96">
        <v>780.91981318372814</v>
      </c>
      <c r="N44" s="96">
        <v>767.68388414671585</v>
      </c>
      <c r="O44" s="109">
        <v>8418.0508675398505</v>
      </c>
    </row>
    <row r="45" spans="1:15" x14ac:dyDescent="0.2">
      <c r="A45" s="229"/>
      <c r="B45" s="107" t="s">
        <v>87</v>
      </c>
      <c r="C45" s="108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109">
        <v>0</v>
      </c>
    </row>
    <row r="46" spans="1:15" x14ac:dyDescent="0.2">
      <c r="A46" s="229"/>
      <c r="B46" s="107" t="s">
        <v>89</v>
      </c>
      <c r="C46" s="108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109">
        <v>0</v>
      </c>
    </row>
    <row r="47" spans="1:15" x14ac:dyDescent="0.2">
      <c r="A47" s="97" t="s">
        <v>8</v>
      </c>
      <c r="B47" s="97" t="s">
        <v>70</v>
      </c>
      <c r="C47" s="104">
        <v>669.51914326983967</v>
      </c>
      <c r="D47" s="105">
        <v>640.40961530158575</v>
      </c>
      <c r="E47" s="105">
        <v>516.69412143650675</v>
      </c>
      <c r="F47" s="105">
        <v>553.08103139682407</v>
      </c>
      <c r="G47" s="105">
        <v>975.16918693650564</v>
      </c>
      <c r="H47" s="105">
        <v>1055.2203888492038</v>
      </c>
      <c r="I47" s="105">
        <v>1171.6585007222195</v>
      </c>
      <c r="J47" s="105">
        <v>1120.7168267777752</v>
      </c>
      <c r="K47" s="105">
        <v>960.61442295237873</v>
      </c>
      <c r="L47" s="105">
        <v>662.24176127777628</v>
      </c>
      <c r="M47" s="105">
        <v>487.58459346825282</v>
      </c>
      <c r="N47" s="105">
        <v>698.6286712380936</v>
      </c>
      <c r="O47" s="106">
        <v>9511.5382636269624</v>
      </c>
    </row>
    <row r="48" spans="1:15" x14ac:dyDescent="0.2">
      <c r="A48" s="229"/>
      <c r="B48" s="107" t="s">
        <v>25</v>
      </c>
      <c r="C48" s="241">
        <v>-548.18632813529587</v>
      </c>
      <c r="D48" s="242">
        <v>-524.35213995550043</v>
      </c>
      <c r="E48" s="242">
        <v>-423.05684019136959</v>
      </c>
      <c r="F48" s="242">
        <v>-452.84957541611391</v>
      </c>
      <c r="G48" s="242">
        <v>-798.44530402314831</v>
      </c>
      <c r="H48" s="242">
        <v>-863.98932151758572</v>
      </c>
      <c r="I48" s="242">
        <v>-959.32607423676768</v>
      </c>
      <c r="J48" s="242">
        <v>-917.61624492212559</v>
      </c>
      <c r="K48" s="242">
        <v>-786.52820993325042</v>
      </c>
      <c r="L48" s="242">
        <v>-542.22778109034675</v>
      </c>
      <c r="M48" s="242">
        <v>-399.22265201157416</v>
      </c>
      <c r="N48" s="242">
        <v>-572.0205163150913</v>
      </c>
      <c r="O48" s="243">
        <v>-7787.8209877481713</v>
      </c>
    </row>
    <row r="49" spans="1:15" x14ac:dyDescent="0.2">
      <c r="A49" s="229"/>
      <c r="B49" s="107" t="s">
        <v>26</v>
      </c>
      <c r="C49" s="241">
        <v>-29.934864506788031</v>
      </c>
      <c r="D49" s="242">
        <v>-28.633348658666812</v>
      </c>
      <c r="E49" s="242">
        <v>-23.101906304151633</v>
      </c>
      <c r="F49" s="242">
        <v>-24.728801114303156</v>
      </c>
      <c r="G49" s="242">
        <v>-43.600780912060827</v>
      </c>
      <c r="H49" s="242">
        <v>-47.17994949439418</v>
      </c>
      <c r="I49" s="242">
        <v>-52.386012886879051</v>
      </c>
      <c r="J49" s="242">
        <v>-50.108360152666926</v>
      </c>
      <c r="K49" s="242">
        <v>-42.950022988000221</v>
      </c>
      <c r="L49" s="242">
        <v>-29.609485544757725</v>
      </c>
      <c r="M49" s="242">
        <v>-21.800390456030414</v>
      </c>
      <c r="N49" s="242">
        <v>-31.236380354909251</v>
      </c>
      <c r="O49" s="243">
        <v>-425.27030337360821</v>
      </c>
    </row>
    <row r="50" spans="1:15" x14ac:dyDescent="0.2">
      <c r="A50" s="229"/>
      <c r="B50" s="107" t="s">
        <v>27</v>
      </c>
      <c r="C50" s="241">
        <v>-578.12119264208388</v>
      </c>
      <c r="D50" s="242">
        <v>-552.98548861416725</v>
      </c>
      <c r="E50" s="242">
        <v>-446.1587464955212</v>
      </c>
      <c r="F50" s="242">
        <v>-477.57837653041707</v>
      </c>
      <c r="G50" s="242">
        <v>-842.04608493520914</v>
      </c>
      <c r="H50" s="242">
        <v>-911.16927101197984</v>
      </c>
      <c r="I50" s="242">
        <v>-1011.7120871236467</v>
      </c>
      <c r="J50" s="242">
        <v>-967.72460507479252</v>
      </c>
      <c r="K50" s="242">
        <v>-829.47823292125065</v>
      </c>
      <c r="L50" s="242">
        <v>-571.83726663510447</v>
      </c>
      <c r="M50" s="242">
        <v>-421.02304246760457</v>
      </c>
      <c r="N50" s="242">
        <v>-603.25689667000051</v>
      </c>
      <c r="O50" s="243">
        <v>-8213.0912911217765</v>
      </c>
    </row>
    <row r="51" spans="1:15" x14ac:dyDescent="0.2">
      <c r="A51" s="229"/>
      <c r="B51" s="107" t="s">
        <v>49</v>
      </c>
      <c r="C51" s="108">
        <v>1217.7054714051355</v>
      </c>
      <c r="D51" s="96">
        <v>1164.7617552570862</v>
      </c>
      <c r="E51" s="96">
        <v>939.75096162787634</v>
      </c>
      <c r="F51" s="96">
        <v>1005.930606812938</v>
      </c>
      <c r="G51" s="96">
        <v>1773.6144909596539</v>
      </c>
      <c r="H51" s="96">
        <v>1919.2097103667895</v>
      </c>
      <c r="I51" s="96">
        <v>2130.9845749589872</v>
      </c>
      <c r="J51" s="96">
        <v>2038.3330716999008</v>
      </c>
      <c r="K51" s="96">
        <v>1747.1426328856292</v>
      </c>
      <c r="L51" s="96">
        <v>1204.469542368123</v>
      </c>
      <c r="M51" s="96">
        <v>886.80724547982697</v>
      </c>
      <c r="N51" s="96">
        <v>1270.6491875531849</v>
      </c>
      <c r="O51" s="109">
        <v>17299.359251375132</v>
      </c>
    </row>
    <row r="52" spans="1:15" x14ac:dyDescent="0.2">
      <c r="A52" s="229"/>
      <c r="B52" s="107" t="s">
        <v>87</v>
      </c>
      <c r="C52" s="108"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109">
        <v>0</v>
      </c>
    </row>
    <row r="53" spans="1:15" x14ac:dyDescent="0.2">
      <c r="A53" s="229"/>
      <c r="B53" s="107" t="s">
        <v>89</v>
      </c>
      <c r="C53" s="108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109">
        <v>0</v>
      </c>
    </row>
    <row r="54" spans="1:15" x14ac:dyDescent="0.2">
      <c r="A54" s="97" t="s">
        <v>21</v>
      </c>
      <c r="B54" s="97" t="s">
        <v>70</v>
      </c>
      <c r="C54" s="104">
        <v>21097.130394992015</v>
      </c>
      <c r="D54" s="105">
        <v>20078.296916103129</v>
      </c>
      <c r="E54" s="105">
        <v>17829.585880555514</v>
      </c>
      <c r="F54" s="105">
        <v>17429.329870992024</v>
      </c>
      <c r="G54" s="105">
        <v>25339.844096365021</v>
      </c>
      <c r="H54" s="105">
        <v>29153.19226020628</v>
      </c>
      <c r="I54" s="105">
        <v>30783.3258264285</v>
      </c>
      <c r="J54" s="105">
        <v>30208.412649055485</v>
      </c>
      <c r="K54" s="105">
        <v>28367.235005063427</v>
      </c>
      <c r="L54" s="105">
        <v>20085.574298095191</v>
      </c>
      <c r="M54" s="105">
        <v>18637.375281674558</v>
      </c>
      <c r="N54" s="105">
        <v>22923.753274999945</v>
      </c>
      <c r="O54" s="106">
        <v>281933.05575453112</v>
      </c>
    </row>
    <row r="55" spans="1:15" x14ac:dyDescent="0.2">
      <c r="A55" s="229"/>
      <c r="B55" s="107" t="s">
        <v>25</v>
      </c>
      <c r="C55" s="241">
        <v>-17273.827883306763</v>
      </c>
      <c r="D55" s="242">
        <v>-16439.631297013926</v>
      </c>
      <c r="E55" s="242">
        <v>-14598.440260124724</v>
      </c>
      <c r="F55" s="242">
        <v>-14270.720172652535</v>
      </c>
      <c r="G55" s="242">
        <v>-20747.660810511952</v>
      </c>
      <c r="H55" s="242">
        <v>-23869.939462065162</v>
      </c>
      <c r="I55" s="242">
        <v>-25204.654000133709</v>
      </c>
      <c r="J55" s="242">
        <v>-24733.928783582749</v>
      </c>
      <c r="K55" s="242">
        <v>-23226.416381210685</v>
      </c>
      <c r="L55" s="242">
        <v>-16445.589844058872</v>
      </c>
      <c r="M55" s="242">
        <v>-15259.838982114048</v>
      </c>
      <c r="N55" s="242">
        <v>-18769.423191588932</v>
      </c>
      <c r="O55" s="243">
        <v>-230840.07106836408</v>
      </c>
    </row>
    <row r="56" spans="1:15" x14ac:dyDescent="0.2">
      <c r="A56" s="229"/>
      <c r="B56" s="107" t="s">
        <v>26</v>
      </c>
      <c r="C56" s="241">
        <v>-943.2736109258534</v>
      </c>
      <c r="D56" s="242">
        <v>-897.72055624161067</v>
      </c>
      <c r="E56" s="242">
        <v>-797.1784569742465</v>
      </c>
      <c r="F56" s="242">
        <v>-779.28261406257968</v>
      </c>
      <c r="G56" s="242">
        <v>-1132.9695457895211</v>
      </c>
      <c r="H56" s="242">
        <v>-1303.4681218934006</v>
      </c>
      <c r="I56" s="242">
        <v>-1376.3530093881889</v>
      </c>
      <c r="J56" s="242">
        <v>-1350.6480713877947</v>
      </c>
      <c r="K56" s="242">
        <v>-1268.3271939941278</v>
      </c>
      <c r="L56" s="242">
        <v>-898.04593520364097</v>
      </c>
      <c r="M56" s="242">
        <v>-833.29552175961032</v>
      </c>
      <c r="N56" s="242">
        <v>-1024.9437303954599</v>
      </c>
      <c r="O56" s="243">
        <v>-12605.506368016037</v>
      </c>
    </row>
    <row r="57" spans="1:15" x14ac:dyDescent="0.2">
      <c r="A57" s="229"/>
      <c r="B57" s="107" t="s">
        <v>27</v>
      </c>
      <c r="C57" s="241">
        <v>-18217.101494232618</v>
      </c>
      <c r="D57" s="242">
        <v>-17337.351853255535</v>
      </c>
      <c r="E57" s="242">
        <v>-15395.618717098971</v>
      </c>
      <c r="F57" s="242">
        <v>-15050.002786715115</v>
      </c>
      <c r="G57" s="242">
        <v>-21880.630356301474</v>
      </c>
      <c r="H57" s="242">
        <v>-25173.407583958564</v>
      </c>
      <c r="I57" s="242">
        <v>-26581.007009521898</v>
      </c>
      <c r="J57" s="242">
        <v>-26084.576854970543</v>
      </c>
      <c r="K57" s="242">
        <v>-24494.743575204811</v>
      </c>
      <c r="L57" s="242">
        <v>-17343.635779262513</v>
      </c>
      <c r="M57" s="242">
        <v>-16093.134503873658</v>
      </c>
      <c r="N57" s="242">
        <v>-19794.366921984391</v>
      </c>
      <c r="O57" s="243">
        <v>-243445.57743638006</v>
      </c>
    </row>
    <row r="58" spans="1:15" x14ac:dyDescent="0.2">
      <c r="A58" s="229"/>
      <c r="B58" s="107" t="s">
        <v>49</v>
      </c>
      <c r="C58" s="108">
        <v>38370.958278298778</v>
      </c>
      <c r="D58" s="96">
        <v>36517.928213117055</v>
      </c>
      <c r="E58" s="96">
        <v>32428.026140680238</v>
      </c>
      <c r="F58" s="96">
        <v>31700.050043644558</v>
      </c>
      <c r="G58" s="96">
        <v>46087.504906876973</v>
      </c>
      <c r="H58" s="96">
        <v>53023.131722271442</v>
      </c>
      <c r="I58" s="96">
        <v>55987.979826562208</v>
      </c>
      <c r="J58" s="96">
        <v>54942.341432638234</v>
      </c>
      <c r="K58" s="96">
        <v>51593.651386274112</v>
      </c>
      <c r="L58" s="96">
        <v>36531.164142154063</v>
      </c>
      <c r="M58" s="96">
        <v>33897.214263788606</v>
      </c>
      <c r="N58" s="96">
        <v>41693.176466588877</v>
      </c>
      <c r="O58" s="109">
        <v>512773.12682289508</v>
      </c>
    </row>
    <row r="59" spans="1:15" x14ac:dyDescent="0.2">
      <c r="A59" s="229"/>
      <c r="B59" s="107" t="s">
        <v>87</v>
      </c>
      <c r="C59" s="108">
        <v>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109">
        <v>0</v>
      </c>
    </row>
    <row r="60" spans="1:15" x14ac:dyDescent="0.2">
      <c r="A60" s="229"/>
      <c r="B60" s="107" t="s">
        <v>89</v>
      </c>
      <c r="C60" s="108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109">
        <v>0</v>
      </c>
    </row>
    <row r="61" spans="1:15" x14ac:dyDescent="0.2">
      <c r="A61" s="97" t="s">
        <v>22</v>
      </c>
      <c r="B61" s="97" t="s">
        <v>70</v>
      </c>
      <c r="C61" s="104">
        <v>21257.232798817411</v>
      </c>
      <c r="D61" s="105">
        <v>20762.370823357094</v>
      </c>
      <c r="E61" s="105">
        <v>18630.097899682496</v>
      </c>
      <c r="F61" s="105">
        <v>17713.147768682498</v>
      </c>
      <c r="G61" s="105">
        <v>22683.59966926185</v>
      </c>
      <c r="H61" s="105">
        <v>25732.822723936446</v>
      </c>
      <c r="I61" s="105">
        <v>26897.203842666604</v>
      </c>
      <c r="J61" s="105">
        <v>26431.451395174543</v>
      </c>
      <c r="K61" s="105">
        <v>24284.623707515817</v>
      </c>
      <c r="L61" s="105">
        <v>18164.345452190435</v>
      </c>
      <c r="M61" s="105">
        <v>18324.447856015831</v>
      </c>
      <c r="N61" s="105">
        <v>24735.82139102375</v>
      </c>
      <c r="O61" s="106">
        <v>265617.16532832477</v>
      </c>
    </row>
    <row r="62" spans="1:15" x14ac:dyDescent="0.2">
      <c r="A62" s="229"/>
      <c r="B62" s="107" t="s">
        <v>25</v>
      </c>
      <c r="C62" s="241">
        <v>-17404.915918295639</v>
      </c>
      <c r="D62" s="242">
        <v>-16999.734719239117</v>
      </c>
      <c r="E62" s="242">
        <v>-15253.880435069103</v>
      </c>
      <c r="F62" s="242">
        <v>-14503.103507405543</v>
      </c>
      <c r="G62" s="242">
        <v>-18572.791139105619</v>
      </c>
      <c r="H62" s="242">
        <v>-21069.422350939192</v>
      </c>
      <c r="I62" s="242">
        <v>-22022.789878131014</v>
      </c>
      <c r="J62" s="242">
        <v>-21641.442867254282</v>
      </c>
      <c r="K62" s="242">
        <v>-19883.671488994372</v>
      </c>
      <c r="L62" s="242">
        <v>-14872.53342419237</v>
      </c>
      <c r="M62" s="242">
        <v>-15003.621459181246</v>
      </c>
      <c r="N62" s="242">
        <v>-20253.101405781203</v>
      </c>
      <c r="O62" s="243">
        <v>-217481.00859358869</v>
      </c>
    </row>
    <row r="63" spans="1:15" x14ac:dyDescent="0.2">
      <c r="A63" s="229"/>
      <c r="B63" s="107" t="s">
        <v>26</v>
      </c>
      <c r="C63" s="241">
        <v>-950.43194809052</v>
      </c>
      <c r="D63" s="242">
        <v>-928.3061786724594</v>
      </c>
      <c r="E63" s="242">
        <v>-832.97014279758002</v>
      </c>
      <c r="F63" s="242">
        <v>-791.97239358176159</v>
      </c>
      <c r="G63" s="242">
        <v>-1014.2062246484597</v>
      </c>
      <c r="H63" s="242">
        <v>-1150.5400097391575</v>
      </c>
      <c r="I63" s="242">
        <v>-1202.6006436640062</v>
      </c>
      <c r="J63" s="242">
        <v>-1181.7763900940668</v>
      </c>
      <c r="K63" s="242">
        <v>-1085.7895962951268</v>
      </c>
      <c r="L63" s="242">
        <v>-812.14588922764051</v>
      </c>
      <c r="M63" s="242">
        <v>-819.30422639230721</v>
      </c>
      <c r="N63" s="242">
        <v>-1105.9630919410056</v>
      </c>
      <c r="O63" s="243">
        <v>-11876.006735144092</v>
      </c>
    </row>
    <row r="64" spans="1:15" x14ac:dyDescent="0.2">
      <c r="A64" s="229"/>
      <c r="B64" s="107" t="s">
        <v>27</v>
      </c>
      <c r="C64" s="241">
        <v>-18355.347866386161</v>
      </c>
      <c r="D64" s="242">
        <v>-17928.040897911578</v>
      </c>
      <c r="E64" s="242">
        <v>-16086.850577866682</v>
      </c>
      <c r="F64" s="242">
        <v>-15295.075900987305</v>
      </c>
      <c r="G64" s="242">
        <v>-19586.997363754079</v>
      </c>
      <c r="H64" s="242">
        <v>-22219.96236067835</v>
      </c>
      <c r="I64" s="242">
        <v>-23225.39052179502</v>
      </c>
      <c r="J64" s="242">
        <v>-22823.219257348348</v>
      </c>
      <c r="K64" s="242">
        <v>-20969.461085289498</v>
      </c>
      <c r="L64" s="242">
        <v>-15684.679313420011</v>
      </c>
      <c r="M64" s="242">
        <v>-15822.925685573553</v>
      </c>
      <c r="N64" s="242">
        <v>-21359.064497722207</v>
      </c>
      <c r="O64" s="243">
        <v>-229357.01532873276</v>
      </c>
    </row>
    <row r="65" spans="1:15" x14ac:dyDescent="0.2">
      <c r="A65" s="229"/>
      <c r="B65" s="107" t="s">
        <v>49</v>
      </c>
      <c r="C65" s="108">
        <v>38662.14871711305</v>
      </c>
      <c r="D65" s="96">
        <v>37762.105542596211</v>
      </c>
      <c r="E65" s="96">
        <v>33883.978334751599</v>
      </c>
      <c r="F65" s="96">
        <v>32216.251276088042</v>
      </c>
      <c r="G65" s="96">
        <v>41256.390808367469</v>
      </c>
      <c r="H65" s="96">
        <v>46802.245074875638</v>
      </c>
      <c r="I65" s="96">
        <v>48919.993720797618</v>
      </c>
      <c r="J65" s="96">
        <v>48072.894262428825</v>
      </c>
      <c r="K65" s="96">
        <v>44168.295196510189</v>
      </c>
      <c r="L65" s="96">
        <v>33036.878876382805</v>
      </c>
      <c r="M65" s="96">
        <v>33328.069315197077</v>
      </c>
      <c r="N65" s="96">
        <v>44988.922796804953</v>
      </c>
      <c r="O65" s="109">
        <v>483098.17392191349</v>
      </c>
    </row>
    <row r="66" spans="1:15" x14ac:dyDescent="0.2">
      <c r="A66" s="229"/>
      <c r="B66" s="107" t="s">
        <v>87</v>
      </c>
      <c r="C66" s="108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109">
        <v>0</v>
      </c>
    </row>
    <row r="67" spans="1:15" x14ac:dyDescent="0.2">
      <c r="A67" s="229"/>
      <c r="B67" s="107" t="s">
        <v>89</v>
      </c>
      <c r="C67" s="108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109">
        <v>0</v>
      </c>
    </row>
    <row r="68" spans="1:15" x14ac:dyDescent="0.2">
      <c r="A68" s="97" t="s">
        <v>9</v>
      </c>
      <c r="B68" s="97" t="s">
        <v>70</v>
      </c>
      <c r="C68" s="104">
        <v>363.86909960317377</v>
      </c>
      <c r="D68" s="105">
        <v>356.59171761111025</v>
      </c>
      <c r="E68" s="105">
        <v>327.48218964285638</v>
      </c>
      <c r="F68" s="105">
        <v>247.43098773015817</v>
      </c>
      <c r="G68" s="105">
        <v>305.65004366666597</v>
      </c>
      <c r="H68" s="105">
        <v>356.59171761111025</v>
      </c>
      <c r="I68" s="105">
        <v>392.97862757142764</v>
      </c>
      <c r="J68" s="105">
        <v>342.03695362698335</v>
      </c>
      <c r="K68" s="105">
        <v>342.03695362698335</v>
      </c>
      <c r="L68" s="105">
        <v>283.81789769047555</v>
      </c>
      <c r="M68" s="105">
        <v>327.48218964285638</v>
      </c>
      <c r="N68" s="105">
        <v>443.92030151587198</v>
      </c>
      <c r="O68" s="106">
        <v>4089.8886795396729</v>
      </c>
    </row>
    <row r="69" spans="1:15" x14ac:dyDescent="0.2">
      <c r="A69" s="229"/>
      <c r="B69" s="107" t="s">
        <v>25</v>
      </c>
      <c r="C69" s="241">
        <v>-297.92735224744337</v>
      </c>
      <c r="D69" s="242">
        <v>-291.96880520249448</v>
      </c>
      <c r="E69" s="242">
        <v>-268.13461702269899</v>
      </c>
      <c r="F69" s="242">
        <v>-202.59059952826146</v>
      </c>
      <c r="G69" s="242">
        <v>-250.25897588785244</v>
      </c>
      <c r="H69" s="242">
        <v>-291.96880520249448</v>
      </c>
      <c r="I69" s="242">
        <v>-321.76154042723886</v>
      </c>
      <c r="J69" s="242">
        <v>-280.05171111259671</v>
      </c>
      <c r="K69" s="242">
        <v>-280.05171111259671</v>
      </c>
      <c r="L69" s="242">
        <v>-232.38333475300578</v>
      </c>
      <c r="M69" s="242">
        <v>-268.13461702269899</v>
      </c>
      <c r="N69" s="242">
        <v>-363.47136974188084</v>
      </c>
      <c r="O69" s="243">
        <v>-3348.7034392612632</v>
      </c>
    </row>
    <row r="70" spans="1:15" x14ac:dyDescent="0.2">
      <c r="A70" s="229"/>
      <c r="B70" s="107" t="s">
        <v>26</v>
      </c>
      <c r="C70" s="241">
        <v>-16.268948101515235</v>
      </c>
      <c r="D70" s="242">
        <v>-15.94356913948493</v>
      </c>
      <c r="E70" s="242">
        <v>-14.642053291363712</v>
      </c>
      <c r="F70" s="242">
        <v>-11.06288470903036</v>
      </c>
      <c r="G70" s="242">
        <v>-13.665916405272798</v>
      </c>
      <c r="H70" s="242">
        <v>-15.94356913948493</v>
      </c>
      <c r="I70" s="242">
        <v>-17.570463949636455</v>
      </c>
      <c r="J70" s="242">
        <v>-15.292811215424321</v>
      </c>
      <c r="K70" s="242">
        <v>-15.292811215424321</v>
      </c>
      <c r="L70" s="242">
        <v>-12.689779519181883</v>
      </c>
      <c r="M70" s="242">
        <v>-14.642053291363712</v>
      </c>
      <c r="N70" s="242">
        <v>-19.848116683848584</v>
      </c>
      <c r="O70" s="243">
        <v>-182.86297666103124</v>
      </c>
    </row>
    <row r="71" spans="1:15" x14ac:dyDescent="0.2">
      <c r="A71" s="229"/>
      <c r="B71" s="107" t="s">
        <v>27</v>
      </c>
      <c r="C71" s="241">
        <v>-314.19630034895863</v>
      </c>
      <c r="D71" s="242">
        <v>-307.91237434197939</v>
      </c>
      <c r="E71" s="242">
        <v>-282.7766703140627</v>
      </c>
      <c r="F71" s="242">
        <v>-213.65348423729182</v>
      </c>
      <c r="G71" s="242">
        <v>-263.92489229312525</v>
      </c>
      <c r="H71" s="242">
        <v>-307.91237434197939</v>
      </c>
      <c r="I71" s="242">
        <v>-339.33200437687532</v>
      </c>
      <c r="J71" s="242">
        <v>-295.34452232802101</v>
      </c>
      <c r="K71" s="242">
        <v>-295.34452232802101</v>
      </c>
      <c r="L71" s="242">
        <v>-245.07311427218767</v>
      </c>
      <c r="M71" s="242">
        <v>-282.7766703140627</v>
      </c>
      <c r="N71" s="242">
        <v>-383.31948642572939</v>
      </c>
      <c r="O71" s="243">
        <v>-3531.5664159222943</v>
      </c>
    </row>
    <row r="72" spans="1:15" x14ac:dyDescent="0.2">
      <c r="A72" s="229"/>
      <c r="B72" s="107" t="s">
        <v>49</v>
      </c>
      <c r="C72" s="108">
        <v>661.79645185061713</v>
      </c>
      <c r="D72" s="96">
        <v>648.56052281360473</v>
      </c>
      <c r="E72" s="96">
        <v>595.61680666555537</v>
      </c>
      <c r="F72" s="96">
        <v>450.02158725841963</v>
      </c>
      <c r="G72" s="96">
        <v>555.90901955451841</v>
      </c>
      <c r="H72" s="96">
        <v>648.56052281360473</v>
      </c>
      <c r="I72" s="96">
        <v>714.74016799866649</v>
      </c>
      <c r="J72" s="96">
        <v>622.08866473958005</v>
      </c>
      <c r="K72" s="96">
        <v>622.08866473958005</v>
      </c>
      <c r="L72" s="96">
        <v>516.20123244348133</v>
      </c>
      <c r="M72" s="96">
        <v>595.61680666555537</v>
      </c>
      <c r="N72" s="96">
        <v>807.39167125775282</v>
      </c>
      <c r="O72" s="109">
        <v>7438.592118800937</v>
      </c>
    </row>
    <row r="73" spans="1:15" x14ac:dyDescent="0.2">
      <c r="A73" s="229"/>
      <c r="B73" s="107" t="s">
        <v>87</v>
      </c>
      <c r="C73" s="108">
        <v>0</v>
      </c>
      <c r="D73" s="96">
        <v>0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109">
        <v>0</v>
      </c>
    </row>
    <row r="74" spans="1:15" x14ac:dyDescent="0.2">
      <c r="A74" s="229"/>
      <c r="B74" s="107" t="s">
        <v>89</v>
      </c>
      <c r="C74" s="108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109">
        <v>0</v>
      </c>
    </row>
    <row r="75" spans="1:15" x14ac:dyDescent="0.2">
      <c r="A75" s="97" t="s">
        <v>54</v>
      </c>
      <c r="B75" s="97" t="s">
        <v>70</v>
      </c>
      <c r="C75" s="104">
        <v>880.56322103968046</v>
      </c>
      <c r="D75" s="105">
        <v>793.23463713491878</v>
      </c>
      <c r="E75" s="105">
        <v>691.35128924603009</v>
      </c>
      <c r="F75" s="105">
        <v>676.79652526190318</v>
      </c>
      <c r="G75" s="105">
        <v>909.67274900793439</v>
      </c>
      <c r="H75" s="105">
        <v>1157.1037367380925</v>
      </c>
      <c r="I75" s="105">
        <v>1280.8192306031715</v>
      </c>
      <c r="J75" s="105">
        <v>1215.3227926746004</v>
      </c>
      <c r="K75" s="105">
        <v>1113.4394447857117</v>
      </c>
      <c r="L75" s="105">
        <v>756.84772717460146</v>
      </c>
      <c r="M75" s="105">
        <v>756.84772717460146</v>
      </c>
      <c r="N75" s="105">
        <v>1011.5560968968231</v>
      </c>
      <c r="O75" s="106">
        <v>11243.55517773807</v>
      </c>
    </row>
    <row r="76" spans="1:15" x14ac:dyDescent="0.2">
      <c r="A76" s="229"/>
      <c r="B76" s="107" t="s">
        <v>25</v>
      </c>
      <c r="C76" s="108">
        <v>-720.9841924388129</v>
      </c>
      <c r="D76" s="96">
        <v>-649.48162789942648</v>
      </c>
      <c r="E76" s="96">
        <v>-566.0619692701423</v>
      </c>
      <c r="F76" s="96">
        <v>-554.14487518024464</v>
      </c>
      <c r="G76" s="96">
        <v>-744.81838061860833</v>
      </c>
      <c r="H76" s="96">
        <v>-947.40898014686968</v>
      </c>
      <c r="I76" s="96">
        <v>-1048.7042799110009</v>
      </c>
      <c r="J76" s="96">
        <v>-995.077356506461</v>
      </c>
      <c r="K76" s="96">
        <v>-911.65769787717659</v>
      </c>
      <c r="L76" s="96">
        <v>-619.68889267468217</v>
      </c>
      <c r="M76" s="96">
        <v>-619.68889267468217</v>
      </c>
      <c r="N76" s="96">
        <v>-828.23803924789252</v>
      </c>
      <c r="O76" s="109">
        <v>-9205.9551844459984</v>
      </c>
    </row>
    <row r="77" spans="1:15" x14ac:dyDescent="0.2">
      <c r="A77" s="229"/>
      <c r="B77" s="107" t="s">
        <v>26</v>
      </c>
      <c r="C77" s="108">
        <v>-39.370854405666869</v>
      </c>
      <c r="D77" s="96">
        <v>-35.46630686130321</v>
      </c>
      <c r="E77" s="96">
        <v>-30.911001392878948</v>
      </c>
      <c r="F77" s="96">
        <v>-30.260243468818338</v>
      </c>
      <c r="G77" s="96">
        <v>-40.672370253788081</v>
      </c>
      <c r="H77" s="96">
        <v>-51.735254962818452</v>
      </c>
      <c r="I77" s="96">
        <v>-57.266697317333623</v>
      </c>
      <c r="J77" s="96">
        <v>-54.338286659060884</v>
      </c>
      <c r="K77" s="96">
        <v>-49.782981190636619</v>
      </c>
      <c r="L77" s="96">
        <v>-33.83941205115169</v>
      </c>
      <c r="M77" s="96">
        <v>-33.83941205115169</v>
      </c>
      <c r="N77" s="96">
        <v>-45.227675722212354</v>
      </c>
      <c r="O77" s="109">
        <v>-502.71049633682071</v>
      </c>
    </row>
    <row r="78" spans="1:15" x14ac:dyDescent="0.2">
      <c r="A78" s="229"/>
      <c r="B78" s="107" t="s">
        <v>27</v>
      </c>
      <c r="C78" s="108">
        <v>-760.35504684447972</v>
      </c>
      <c r="D78" s="96">
        <v>-684.94793476072971</v>
      </c>
      <c r="E78" s="96">
        <v>-596.97297066302121</v>
      </c>
      <c r="F78" s="96">
        <v>-584.40511864906296</v>
      </c>
      <c r="G78" s="96">
        <v>-785.49075087239646</v>
      </c>
      <c r="H78" s="96">
        <v>-999.14423510968811</v>
      </c>
      <c r="I78" s="96">
        <v>-1105.9709772283345</v>
      </c>
      <c r="J78" s="96">
        <v>-1049.4156431655219</v>
      </c>
      <c r="K78" s="96">
        <v>-961.44067906781322</v>
      </c>
      <c r="L78" s="96">
        <v>-653.52830472583389</v>
      </c>
      <c r="M78" s="96">
        <v>-653.52830472583389</v>
      </c>
      <c r="N78" s="96">
        <v>-873.46571497010484</v>
      </c>
      <c r="O78" s="109">
        <v>-9708.6656807828203</v>
      </c>
    </row>
    <row r="79" spans="1:15" x14ac:dyDescent="0.2">
      <c r="A79" s="229"/>
      <c r="B79" s="107" t="s">
        <v>49</v>
      </c>
      <c r="C79" s="108">
        <v>1601.5474134784934</v>
      </c>
      <c r="D79" s="96">
        <v>1442.7162650343453</v>
      </c>
      <c r="E79" s="96">
        <v>1257.4132585161724</v>
      </c>
      <c r="F79" s="96">
        <v>1230.9414004421478</v>
      </c>
      <c r="G79" s="96">
        <v>1654.4911296265427</v>
      </c>
      <c r="H79" s="96">
        <v>2104.5127168849622</v>
      </c>
      <c r="I79" s="96">
        <v>2329.5235105141724</v>
      </c>
      <c r="J79" s="96">
        <v>2210.4001491810614</v>
      </c>
      <c r="K79" s="96">
        <v>2025.0971426628882</v>
      </c>
      <c r="L79" s="96">
        <v>1376.5366198492836</v>
      </c>
      <c r="M79" s="96">
        <v>1376.5366198492836</v>
      </c>
      <c r="N79" s="96">
        <v>1839.7941361447156</v>
      </c>
      <c r="O79" s="109">
        <v>20449.510362184072</v>
      </c>
    </row>
    <row r="80" spans="1:15" x14ac:dyDescent="0.2">
      <c r="A80" s="229"/>
      <c r="B80" s="107" t="s">
        <v>87</v>
      </c>
      <c r="C80" s="108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109">
        <v>0</v>
      </c>
    </row>
    <row r="81" spans="1:15" x14ac:dyDescent="0.2">
      <c r="A81" s="229"/>
      <c r="B81" s="107" t="s">
        <v>89</v>
      </c>
      <c r="C81" s="108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109">
        <v>0</v>
      </c>
    </row>
    <row r="82" spans="1:15" x14ac:dyDescent="0.2">
      <c r="A82" s="97" t="s">
        <v>55</v>
      </c>
      <c r="B82" s="97" t="s">
        <v>70</v>
      </c>
      <c r="C82" s="104">
        <v>58.2190559365078</v>
      </c>
      <c r="D82" s="105">
        <v>80.051201912698218</v>
      </c>
      <c r="E82" s="105">
        <v>65.496437928571282</v>
      </c>
      <c r="F82" s="105">
        <v>80.051201912698218</v>
      </c>
      <c r="G82" s="105">
        <v>80.051201912698218</v>
      </c>
      <c r="H82" s="105">
        <v>101.88334788888865</v>
      </c>
      <c r="I82" s="105">
        <v>94.605965896825182</v>
      </c>
      <c r="J82" s="105">
        <v>94.605965896825182</v>
      </c>
      <c r="K82" s="105">
        <v>94.605965896825182</v>
      </c>
      <c r="L82" s="105">
        <v>72.77381992063475</v>
      </c>
      <c r="M82" s="105">
        <v>65.496437928571282</v>
      </c>
      <c r="N82" s="105">
        <v>65.496437928571282</v>
      </c>
      <c r="O82" s="106">
        <v>953.33704096031522</v>
      </c>
    </row>
    <row r="83" spans="1:15" x14ac:dyDescent="0.2">
      <c r="A83" s="229"/>
      <c r="B83" s="107" t="s">
        <v>25</v>
      </c>
      <c r="C83" s="108">
        <v>-47.668376359590937</v>
      </c>
      <c r="D83" s="96">
        <v>-65.544017494437554</v>
      </c>
      <c r="E83" s="96">
        <v>-53.626923404539795</v>
      </c>
      <c r="F83" s="96">
        <v>-65.544017494437554</v>
      </c>
      <c r="G83" s="96">
        <v>-65.544017494437554</v>
      </c>
      <c r="H83" s="96">
        <v>-83.419658629284143</v>
      </c>
      <c r="I83" s="96">
        <v>-77.461111584335271</v>
      </c>
      <c r="J83" s="96">
        <v>-77.461111584335271</v>
      </c>
      <c r="K83" s="96">
        <v>-77.461111584335271</v>
      </c>
      <c r="L83" s="96">
        <v>-59.585470449488682</v>
      </c>
      <c r="M83" s="96">
        <v>-53.626923404539795</v>
      </c>
      <c r="N83" s="96">
        <v>-53.626923404539795</v>
      </c>
      <c r="O83" s="109">
        <v>-780.56966288830154</v>
      </c>
    </row>
    <row r="84" spans="1:15" x14ac:dyDescent="0.2">
      <c r="A84" s="229"/>
      <c r="B84" s="107" t="s">
        <v>26</v>
      </c>
      <c r="C84" s="108">
        <v>-2.6030316962424376</v>
      </c>
      <c r="D84" s="96">
        <v>-3.5791685823333514</v>
      </c>
      <c r="E84" s="96">
        <v>-2.9284106582727425</v>
      </c>
      <c r="F84" s="96">
        <v>-3.5791685823333514</v>
      </c>
      <c r="G84" s="96">
        <v>-3.5791685823333514</v>
      </c>
      <c r="H84" s="96">
        <v>-4.5553054684242653</v>
      </c>
      <c r="I84" s="96">
        <v>-4.2299265063939613</v>
      </c>
      <c r="J84" s="96">
        <v>-4.2299265063939613</v>
      </c>
      <c r="K84" s="96">
        <v>-4.2299265063939613</v>
      </c>
      <c r="L84" s="96">
        <v>-3.253789620303047</v>
      </c>
      <c r="M84" s="96">
        <v>-2.9284106582727425</v>
      </c>
      <c r="N84" s="96">
        <v>-2.9284106582727425</v>
      </c>
      <c r="O84" s="109">
        <v>-42.624644025969914</v>
      </c>
    </row>
    <row r="85" spans="1:15" x14ac:dyDescent="0.2">
      <c r="A85" s="229"/>
      <c r="B85" s="107" t="s">
        <v>27</v>
      </c>
      <c r="C85" s="108">
        <v>-50.271408055833376</v>
      </c>
      <c r="D85" s="96">
        <v>-69.123186076770907</v>
      </c>
      <c r="E85" s="96">
        <v>-56.555334062812534</v>
      </c>
      <c r="F85" s="96">
        <v>-69.123186076770907</v>
      </c>
      <c r="G85" s="96">
        <v>-69.123186076770907</v>
      </c>
      <c r="H85" s="96">
        <v>-87.974964097708408</v>
      </c>
      <c r="I85" s="96">
        <v>-81.691038090729236</v>
      </c>
      <c r="J85" s="96">
        <v>-81.691038090729236</v>
      </c>
      <c r="K85" s="96">
        <v>-81.691038090729236</v>
      </c>
      <c r="L85" s="96">
        <v>-62.839260069791727</v>
      </c>
      <c r="M85" s="96">
        <v>-56.555334062812534</v>
      </c>
      <c r="N85" s="96">
        <v>-56.555334062812534</v>
      </c>
      <c r="O85" s="109">
        <v>-823.19430691427158</v>
      </c>
    </row>
    <row r="86" spans="1:15" x14ac:dyDescent="0.2">
      <c r="A86" s="229"/>
      <c r="B86" s="107" t="s">
        <v>49</v>
      </c>
      <c r="C86" s="108">
        <v>105.88743229609874</v>
      </c>
      <c r="D86" s="96">
        <v>145.59521940713577</v>
      </c>
      <c r="E86" s="96">
        <v>119.12336133311108</v>
      </c>
      <c r="F86" s="96">
        <v>145.59521940713577</v>
      </c>
      <c r="G86" s="96">
        <v>145.59521940713577</v>
      </c>
      <c r="H86" s="96">
        <v>185.30300651817279</v>
      </c>
      <c r="I86" s="96">
        <v>172.06707748116045</v>
      </c>
      <c r="J86" s="96">
        <v>172.06707748116045</v>
      </c>
      <c r="K86" s="96">
        <v>172.06707748116045</v>
      </c>
      <c r="L86" s="96">
        <v>132.35929037012343</v>
      </c>
      <c r="M86" s="96">
        <v>119.12336133311108</v>
      </c>
      <c r="N86" s="96">
        <v>119.12336133311108</v>
      </c>
      <c r="O86" s="109">
        <v>1733.9067038486166</v>
      </c>
    </row>
    <row r="87" spans="1:15" x14ac:dyDescent="0.2">
      <c r="A87" s="229"/>
      <c r="B87" s="107" t="s">
        <v>87</v>
      </c>
      <c r="C87" s="108">
        <v>0</v>
      </c>
      <c r="D87" s="96">
        <v>0</v>
      </c>
      <c r="E87" s="96">
        <v>0</v>
      </c>
      <c r="F87" s="96">
        <v>0</v>
      </c>
      <c r="G87" s="96">
        <v>0</v>
      </c>
      <c r="H87" s="96">
        <v>0</v>
      </c>
      <c r="I87" s="96">
        <v>0</v>
      </c>
      <c r="J87" s="96">
        <v>0</v>
      </c>
      <c r="K87" s="96">
        <v>0</v>
      </c>
      <c r="L87" s="96">
        <v>0</v>
      </c>
      <c r="M87" s="96">
        <v>0</v>
      </c>
      <c r="N87" s="96">
        <v>0</v>
      </c>
      <c r="O87" s="109">
        <v>0</v>
      </c>
    </row>
    <row r="88" spans="1:15" x14ac:dyDescent="0.2">
      <c r="A88" s="229"/>
      <c r="B88" s="107" t="s">
        <v>89</v>
      </c>
      <c r="C88" s="108">
        <v>0</v>
      </c>
      <c r="D88" s="96">
        <v>0</v>
      </c>
      <c r="E88" s="96">
        <v>0</v>
      </c>
      <c r="F88" s="96">
        <v>0</v>
      </c>
      <c r="G88" s="96">
        <v>0</v>
      </c>
      <c r="H88" s="96">
        <v>0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  <c r="N88" s="96">
        <v>0</v>
      </c>
      <c r="O88" s="109">
        <v>0</v>
      </c>
    </row>
    <row r="89" spans="1:15" x14ac:dyDescent="0.2">
      <c r="A89" s="97" t="s">
        <v>56</v>
      </c>
      <c r="B89" s="97" t="s">
        <v>70</v>
      </c>
      <c r="C89" s="104">
        <v>160.10240382539644</v>
      </c>
      <c r="D89" s="105">
        <v>160.10240382539644</v>
      </c>
      <c r="E89" s="105">
        <v>130.99287585714256</v>
      </c>
      <c r="F89" s="105">
        <v>152.82502183333298</v>
      </c>
      <c r="G89" s="105">
        <v>225.59884175396772</v>
      </c>
      <c r="H89" s="105">
        <v>276.54051569841204</v>
      </c>
      <c r="I89" s="105">
        <v>291.095279682539</v>
      </c>
      <c r="J89" s="105">
        <v>276.54051569841204</v>
      </c>
      <c r="K89" s="105">
        <v>254.70836972222162</v>
      </c>
      <c r="L89" s="105">
        <v>167.37978581745992</v>
      </c>
      <c r="M89" s="105">
        <v>130.99287585714256</v>
      </c>
      <c r="N89" s="105">
        <v>196.48931378571382</v>
      </c>
      <c r="O89" s="106">
        <v>2423.3682033571372</v>
      </c>
    </row>
    <row r="90" spans="1:15" x14ac:dyDescent="0.2">
      <c r="A90" s="229"/>
      <c r="B90" s="107" t="s">
        <v>25</v>
      </c>
      <c r="C90" s="108">
        <v>-131.08803498887511</v>
      </c>
      <c r="D90" s="96">
        <v>-131.08803498887511</v>
      </c>
      <c r="E90" s="96">
        <v>-107.25384680907959</v>
      </c>
      <c r="F90" s="96">
        <v>-125.12948794392622</v>
      </c>
      <c r="G90" s="96">
        <v>-184.71495839341489</v>
      </c>
      <c r="H90" s="96">
        <v>-226.42478770805695</v>
      </c>
      <c r="I90" s="96">
        <v>-238.34188179795473</v>
      </c>
      <c r="J90" s="96">
        <v>-226.42478770805695</v>
      </c>
      <c r="K90" s="96">
        <v>-208.54914657321035</v>
      </c>
      <c r="L90" s="96">
        <v>-137.04658203382397</v>
      </c>
      <c r="M90" s="96">
        <v>-107.25384680907959</v>
      </c>
      <c r="N90" s="96">
        <v>-160.88077021361943</v>
      </c>
      <c r="O90" s="109">
        <v>-1984.1961659679728</v>
      </c>
    </row>
    <row r="91" spans="1:15" x14ac:dyDescent="0.2">
      <c r="A91" s="229"/>
      <c r="B91" s="107" t="s">
        <v>26</v>
      </c>
      <c r="C91" s="108">
        <v>-7.1583371646667029</v>
      </c>
      <c r="D91" s="96">
        <v>-7.1583371646667029</v>
      </c>
      <c r="E91" s="96">
        <v>-5.856821316545485</v>
      </c>
      <c r="F91" s="96">
        <v>-6.8329582026363989</v>
      </c>
      <c r="G91" s="96">
        <v>-10.086747822939445</v>
      </c>
      <c r="H91" s="96">
        <v>-12.364400557151578</v>
      </c>
      <c r="I91" s="96">
        <v>-13.015158481212188</v>
      </c>
      <c r="J91" s="96">
        <v>-12.364400557151578</v>
      </c>
      <c r="K91" s="96">
        <v>-11.388263671060663</v>
      </c>
      <c r="L91" s="96">
        <v>-7.4837161266970078</v>
      </c>
      <c r="M91" s="96">
        <v>-5.856821316545485</v>
      </c>
      <c r="N91" s="96">
        <v>-8.7852319748182275</v>
      </c>
      <c r="O91" s="109">
        <v>-108.35119435609147</v>
      </c>
    </row>
    <row r="92" spans="1:15" x14ac:dyDescent="0.2">
      <c r="A92" s="229"/>
      <c r="B92" s="107" t="s">
        <v>27</v>
      </c>
      <c r="C92" s="108">
        <v>-138.24637215354181</v>
      </c>
      <c r="D92" s="96">
        <v>-138.24637215354181</v>
      </c>
      <c r="E92" s="96">
        <v>-113.11066812562507</v>
      </c>
      <c r="F92" s="96">
        <v>-131.96244614656263</v>
      </c>
      <c r="G92" s="96">
        <v>-194.80170621635435</v>
      </c>
      <c r="H92" s="96">
        <v>-238.78918826520854</v>
      </c>
      <c r="I92" s="96">
        <v>-251.35704027916691</v>
      </c>
      <c r="J92" s="96">
        <v>-238.78918826520854</v>
      </c>
      <c r="K92" s="96">
        <v>-219.93741024427101</v>
      </c>
      <c r="L92" s="96">
        <v>-144.53029816052097</v>
      </c>
      <c r="M92" s="96">
        <v>-113.11066812562507</v>
      </c>
      <c r="N92" s="96">
        <v>-169.66600218843766</v>
      </c>
      <c r="O92" s="109">
        <v>-2092.5473603240644</v>
      </c>
    </row>
    <row r="93" spans="1:15" x14ac:dyDescent="0.2">
      <c r="A93" s="229"/>
      <c r="B93" s="107" t="s">
        <v>49</v>
      </c>
      <c r="C93" s="108">
        <v>291.19043881427154</v>
      </c>
      <c r="D93" s="96">
        <v>291.19043881427154</v>
      </c>
      <c r="E93" s="96">
        <v>238.24672266622215</v>
      </c>
      <c r="F93" s="96">
        <v>277.9545097772592</v>
      </c>
      <c r="G93" s="96">
        <v>410.31380014738261</v>
      </c>
      <c r="H93" s="96">
        <v>502.96530340646899</v>
      </c>
      <c r="I93" s="96">
        <v>529.43716148049373</v>
      </c>
      <c r="J93" s="96">
        <v>502.96530340646899</v>
      </c>
      <c r="K93" s="96">
        <v>463.25751629543197</v>
      </c>
      <c r="L93" s="96">
        <v>304.42636785128389</v>
      </c>
      <c r="M93" s="96">
        <v>238.24672266622215</v>
      </c>
      <c r="N93" s="96">
        <v>357.37008399933325</v>
      </c>
      <c r="O93" s="109">
        <v>4407.5643693251095</v>
      </c>
    </row>
    <row r="94" spans="1:15" x14ac:dyDescent="0.2">
      <c r="A94" s="229"/>
      <c r="B94" s="107" t="s">
        <v>87</v>
      </c>
      <c r="C94" s="108">
        <v>0</v>
      </c>
      <c r="D94" s="96">
        <v>0</v>
      </c>
      <c r="E94" s="96">
        <v>0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M94" s="96">
        <v>0</v>
      </c>
      <c r="N94" s="96">
        <v>0</v>
      </c>
      <c r="O94" s="109">
        <v>0</v>
      </c>
    </row>
    <row r="95" spans="1:15" x14ac:dyDescent="0.2">
      <c r="A95" s="229"/>
      <c r="B95" s="107" t="s">
        <v>89</v>
      </c>
      <c r="C95" s="108">
        <v>0</v>
      </c>
      <c r="D95" s="96">
        <v>0</v>
      </c>
      <c r="E95" s="96">
        <v>0</v>
      </c>
      <c r="F95" s="96">
        <v>0</v>
      </c>
      <c r="G95" s="96">
        <v>0</v>
      </c>
      <c r="H95" s="96">
        <v>0</v>
      </c>
      <c r="I95" s="96">
        <v>0</v>
      </c>
      <c r="J95" s="96">
        <v>0</v>
      </c>
      <c r="K95" s="96">
        <v>0</v>
      </c>
      <c r="L95" s="96">
        <v>0</v>
      </c>
      <c r="M95" s="96">
        <v>0</v>
      </c>
      <c r="N95" s="96">
        <v>0</v>
      </c>
      <c r="O95" s="109">
        <v>0</v>
      </c>
    </row>
    <row r="96" spans="1:15" x14ac:dyDescent="0.2">
      <c r="A96" s="97" t="s">
        <v>57</v>
      </c>
      <c r="B96" s="97" t="s">
        <v>70</v>
      </c>
      <c r="C96" s="104">
        <v>269.26313370634858</v>
      </c>
      <c r="D96" s="105">
        <v>269.26313370634858</v>
      </c>
      <c r="E96" s="105">
        <v>181.93454980158688</v>
      </c>
      <c r="F96" s="105">
        <v>225.59884175396772</v>
      </c>
      <c r="G96" s="105">
        <v>291.095279682539</v>
      </c>
      <c r="H96" s="105">
        <v>349.3143356190468</v>
      </c>
      <c r="I96" s="105">
        <v>378.42386358730073</v>
      </c>
      <c r="J96" s="105">
        <v>363.86909960317377</v>
      </c>
      <c r="K96" s="105">
        <v>342.03695362698335</v>
      </c>
      <c r="L96" s="105">
        <v>254.70836972222162</v>
      </c>
      <c r="M96" s="105">
        <v>247.43098773015817</v>
      </c>
      <c r="N96" s="105">
        <v>247.43098773015817</v>
      </c>
      <c r="O96" s="106">
        <v>3420.3695362698327</v>
      </c>
    </row>
    <row r="97" spans="1:15" x14ac:dyDescent="0.2">
      <c r="A97" s="229"/>
      <c r="B97" s="107" t="s">
        <v>25</v>
      </c>
      <c r="C97" s="108">
        <v>-220.46624066310807</v>
      </c>
      <c r="D97" s="96">
        <v>-220.46624066310807</v>
      </c>
      <c r="E97" s="96">
        <v>-148.96367612372168</v>
      </c>
      <c r="F97" s="96">
        <v>-184.71495839341489</v>
      </c>
      <c r="G97" s="96">
        <v>-238.34188179795473</v>
      </c>
      <c r="H97" s="96">
        <v>-286.01025815754565</v>
      </c>
      <c r="I97" s="96">
        <v>-309.84444633734108</v>
      </c>
      <c r="J97" s="96">
        <v>-297.92735224744337</v>
      </c>
      <c r="K97" s="96">
        <v>-280.05171111259671</v>
      </c>
      <c r="L97" s="96">
        <v>-208.54914657321035</v>
      </c>
      <c r="M97" s="96">
        <v>-202.59059952826146</v>
      </c>
      <c r="N97" s="96">
        <v>-202.59059952826146</v>
      </c>
      <c r="O97" s="109">
        <v>-2800.5171111259674</v>
      </c>
    </row>
    <row r="98" spans="1:15" x14ac:dyDescent="0.2">
      <c r="A98" s="229"/>
      <c r="B98" s="107" t="s">
        <v>26</v>
      </c>
      <c r="C98" s="108">
        <v>-12.039021595121273</v>
      </c>
      <c r="D98" s="96">
        <v>-12.039021595121273</v>
      </c>
      <c r="E98" s="96">
        <v>-8.1344740507576176</v>
      </c>
      <c r="F98" s="96">
        <v>-10.086747822939445</v>
      </c>
      <c r="G98" s="96">
        <v>-13.015158481212188</v>
      </c>
      <c r="H98" s="96">
        <v>-15.618190177454625</v>
      </c>
      <c r="I98" s="96">
        <v>-16.919706025575845</v>
      </c>
      <c r="J98" s="96">
        <v>-16.268948101515235</v>
      </c>
      <c r="K98" s="96">
        <v>-15.292811215424321</v>
      </c>
      <c r="L98" s="96">
        <v>-11.388263671060663</v>
      </c>
      <c r="M98" s="96">
        <v>-11.06288470903036</v>
      </c>
      <c r="N98" s="96">
        <v>-11.06288470903036</v>
      </c>
      <c r="O98" s="109">
        <v>-152.92811215424319</v>
      </c>
    </row>
    <row r="99" spans="1:15" x14ac:dyDescent="0.2">
      <c r="A99" s="229"/>
      <c r="B99" s="107" t="s">
        <v>27</v>
      </c>
      <c r="C99" s="108">
        <v>-232.50526225822935</v>
      </c>
      <c r="D99" s="96">
        <v>-232.50526225822935</v>
      </c>
      <c r="E99" s="96">
        <v>-157.09815017447931</v>
      </c>
      <c r="F99" s="96">
        <v>-194.80170621635435</v>
      </c>
      <c r="G99" s="96">
        <v>-251.35704027916691</v>
      </c>
      <c r="H99" s="96">
        <v>-301.62844833500026</v>
      </c>
      <c r="I99" s="96">
        <v>-326.76415236291695</v>
      </c>
      <c r="J99" s="96">
        <v>-314.19630034895863</v>
      </c>
      <c r="K99" s="96">
        <v>-295.34452232802101</v>
      </c>
      <c r="L99" s="96">
        <v>-219.93741024427101</v>
      </c>
      <c r="M99" s="96">
        <v>-213.65348423729182</v>
      </c>
      <c r="N99" s="96">
        <v>-213.65348423729182</v>
      </c>
      <c r="O99" s="109">
        <v>-2953.4452232802105</v>
      </c>
    </row>
    <row r="100" spans="1:15" x14ac:dyDescent="0.2">
      <c r="A100" s="229"/>
      <c r="B100" s="107" t="s">
        <v>49</v>
      </c>
      <c r="C100" s="108">
        <v>489.72937436945665</v>
      </c>
      <c r="D100" s="96">
        <v>489.72937436945665</v>
      </c>
      <c r="E100" s="96">
        <v>330.89822592530857</v>
      </c>
      <c r="F100" s="96">
        <v>410.31380014738261</v>
      </c>
      <c r="G100" s="96">
        <v>529.43716148049373</v>
      </c>
      <c r="H100" s="96">
        <v>635.32459377659245</v>
      </c>
      <c r="I100" s="96">
        <v>688.26830992464181</v>
      </c>
      <c r="J100" s="96">
        <v>661.79645185061713</v>
      </c>
      <c r="K100" s="96">
        <v>622.08866473958005</v>
      </c>
      <c r="L100" s="96">
        <v>463.25751629543197</v>
      </c>
      <c r="M100" s="96">
        <v>450.02158725841963</v>
      </c>
      <c r="N100" s="96">
        <v>450.02158725841963</v>
      </c>
      <c r="O100" s="109">
        <v>6220.8866473958005</v>
      </c>
    </row>
    <row r="101" spans="1:15" x14ac:dyDescent="0.2">
      <c r="A101" s="229"/>
      <c r="B101" s="107" t="s">
        <v>87</v>
      </c>
      <c r="C101" s="108">
        <v>0</v>
      </c>
      <c r="D101" s="96">
        <v>0</v>
      </c>
      <c r="E101" s="96">
        <v>0</v>
      </c>
      <c r="F101" s="96">
        <v>0</v>
      </c>
      <c r="G101" s="96">
        <v>0</v>
      </c>
      <c r="H101" s="96">
        <v>0</v>
      </c>
      <c r="I101" s="96">
        <v>0</v>
      </c>
      <c r="J101" s="96">
        <v>0</v>
      </c>
      <c r="K101" s="96">
        <v>0</v>
      </c>
      <c r="L101" s="96">
        <v>0</v>
      </c>
      <c r="M101" s="96">
        <v>0</v>
      </c>
      <c r="N101" s="96">
        <v>0</v>
      </c>
      <c r="O101" s="109">
        <v>0</v>
      </c>
    </row>
    <row r="102" spans="1:15" x14ac:dyDescent="0.2">
      <c r="A102" s="229"/>
      <c r="B102" s="107" t="s">
        <v>89</v>
      </c>
      <c r="C102" s="108">
        <v>0</v>
      </c>
      <c r="D102" s="96">
        <v>0</v>
      </c>
      <c r="E102" s="96">
        <v>0</v>
      </c>
      <c r="F102" s="96">
        <v>0</v>
      </c>
      <c r="G102" s="96">
        <v>0</v>
      </c>
      <c r="H102" s="96">
        <v>0</v>
      </c>
      <c r="I102" s="96">
        <v>0</v>
      </c>
      <c r="J102" s="96">
        <v>0</v>
      </c>
      <c r="K102" s="96">
        <v>0</v>
      </c>
      <c r="L102" s="96">
        <v>0</v>
      </c>
      <c r="M102" s="96">
        <v>0</v>
      </c>
      <c r="N102" s="96">
        <v>0</v>
      </c>
      <c r="O102" s="109">
        <v>0</v>
      </c>
    </row>
    <row r="103" spans="1:15" x14ac:dyDescent="0.2">
      <c r="A103" s="97" t="s">
        <v>81</v>
      </c>
      <c r="B103" s="97" t="s">
        <v>70</v>
      </c>
      <c r="C103" s="104">
        <v>1186.2132647063465</v>
      </c>
      <c r="D103" s="105">
        <v>1127.9942087698387</v>
      </c>
      <c r="E103" s="105">
        <v>1026.11086088095</v>
      </c>
      <c r="F103" s="105">
        <v>669.51914326983967</v>
      </c>
      <c r="G103" s="105">
        <v>953.33704096031522</v>
      </c>
      <c r="H103" s="105">
        <v>1106.1620627936481</v>
      </c>
      <c r="I103" s="105">
        <v>1084.3299168174578</v>
      </c>
      <c r="J103" s="105">
        <v>997.00133291269606</v>
      </c>
      <c r="K103" s="105">
        <v>989.72395092063266</v>
      </c>
      <c r="L103" s="105">
        <v>662.24176127777628</v>
      </c>
      <c r="M103" s="105">
        <v>822.34416510317271</v>
      </c>
      <c r="N103" s="105">
        <v>1528.2502183333297</v>
      </c>
      <c r="O103" s="106">
        <v>12153.227926746004</v>
      </c>
    </row>
    <row r="104" spans="1:15" x14ac:dyDescent="0.2">
      <c r="A104" s="229"/>
      <c r="B104" s="107" t="s">
        <v>25</v>
      </c>
      <c r="C104" s="108">
        <v>-971.24316832666523</v>
      </c>
      <c r="D104" s="96">
        <v>-923.57479196707436</v>
      </c>
      <c r="E104" s="96">
        <v>-840.15513333779018</v>
      </c>
      <c r="F104" s="96">
        <v>-548.18632813529587</v>
      </c>
      <c r="G104" s="96">
        <v>-780.56966288830165</v>
      </c>
      <c r="H104" s="96">
        <v>-905.69915083222782</v>
      </c>
      <c r="I104" s="96">
        <v>-887.82350969738104</v>
      </c>
      <c r="J104" s="96">
        <v>-816.32094515799474</v>
      </c>
      <c r="K104" s="96">
        <v>-810.36239811304586</v>
      </c>
      <c r="L104" s="96">
        <v>-542.22778109034675</v>
      </c>
      <c r="M104" s="96">
        <v>-673.31581607922192</v>
      </c>
      <c r="N104" s="96">
        <v>-1251.2948794392621</v>
      </c>
      <c r="O104" s="109">
        <v>-9950.7735650646082</v>
      </c>
    </row>
    <row r="105" spans="1:15" x14ac:dyDescent="0.2">
      <c r="A105" s="229"/>
      <c r="B105" s="107" t="s">
        <v>26</v>
      </c>
      <c r="C105" s="108">
        <v>-53.036770810939664</v>
      </c>
      <c r="D105" s="96">
        <v>-50.433739114697225</v>
      </c>
      <c r="E105" s="96">
        <v>-45.878433646272967</v>
      </c>
      <c r="F105" s="96">
        <v>-29.934864506788031</v>
      </c>
      <c r="G105" s="96">
        <v>-42.624644025969914</v>
      </c>
      <c r="H105" s="96">
        <v>-49.457602228606312</v>
      </c>
      <c r="I105" s="96">
        <v>-48.481465342515399</v>
      </c>
      <c r="J105" s="96">
        <v>-44.57691779815174</v>
      </c>
      <c r="K105" s="96">
        <v>-44.251538836121441</v>
      </c>
      <c r="L105" s="96">
        <v>-29.609485544757725</v>
      </c>
      <c r="M105" s="96">
        <v>-36.767822709424436</v>
      </c>
      <c r="N105" s="96">
        <v>-68.329582026363994</v>
      </c>
      <c r="O105" s="109">
        <v>-543.38286659060873</v>
      </c>
    </row>
    <row r="106" spans="1:15" x14ac:dyDescent="0.2">
      <c r="A106" s="229"/>
      <c r="B106" s="107" t="s">
        <v>27</v>
      </c>
      <c r="C106" s="108">
        <v>-1024.279939137605</v>
      </c>
      <c r="D106" s="96">
        <v>-974.00853108177159</v>
      </c>
      <c r="E106" s="96">
        <v>-886.0335669840631</v>
      </c>
      <c r="F106" s="96">
        <v>-578.12119264208388</v>
      </c>
      <c r="G106" s="96">
        <v>-823.19430691427158</v>
      </c>
      <c r="H106" s="96">
        <v>-955.15675306083415</v>
      </c>
      <c r="I106" s="96">
        <v>-936.30497503989648</v>
      </c>
      <c r="J106" s="96">
        <v>-860.89786295614647</v>
      </c>
      <c r="K106" s="96">
        <v>-854.61393694916728</v>
      </c>
      <c r="L106" s="96">
        <v>-571.83726663510447</v>
      </c>
      <c r="M106" s="96">
        <v>-710.08363878864634</v>
      </c>
      <c r="N106" s="96">
        <v>-1319.6244614656262</v>
      </c>
      <c r="O106" s="109">
        <v>-10494.156431655218</v>
      </c>
    </row>
    <row r="107" spans="1:15" x14ac:dyDescent="0.2">
      <c r="A107" s="229"/>
      <c r="B107" s="107" t="s">
        <v>49</v>
      </c>
      <c r="C107" s="108">
        <v>2157.4564330330118</v>
      </c>
      <c r="D107" s="96">
        <v>2051.569000736913</v>
      </c>
      <c r="E107" s="96">
        <v>1866.2659942187402</v>
      </c>
      <c r="F107" s="96">
        <v>1217.7054714051355</v>
      </c>
      <c r="G107" s="96">
        <v>1733.9067038486169</v>
      </c>
      <c r="H107" s="96">
        <v>2011.861213625876</v>
      </c>
      <c r="I107" s="96">
        <v>1972.1534265148389</v>
      </c>
      <c r="J107" s="96">
        <v>1813.3222780706908</v>
      </c>
      <c r="K107" s="96">
        <v>1800.0863490336785</v>
      </c>
      <c r="L107" s="96">
        <v>1204.469542368123</v>
      </c>
      <c r="M107" s="96">
        <v>1495.6599811823946</v>
      </c>
      <c r="N107" s="96">
        <v>2779.5450977725918</v>
      </c>
      <c r="O107" s="109">
        <v>22104.00149181061</v>
      </c>
    </row>
    <row r="108" spans="1:15" x14ac:dyDescent="0.2">
      <c r="A108" s="229"/>
      <c r="B108" s="107" t="s">
        <v>87</v>
      </c>
      <c r="C108" s="108">
        <v>0</v>
      </c>
      <c r="D108" s="96">
        <v>0</v>
      </c>
      <c r="E108" s="96">
        <v>0</v>
      </c>
      <c r="F108" s="96">
        <v>0</v>
      </c>
      <c r="G108" s="96">
        <v>0</v>
      </c>
      <c r="H108" s="96">
        <v>0</v>
      </c>
      <c r="I108" s="96">
        <v>0</v>
      </c>
      <c r="J108" s="96">
        <v>0</v>
      </c>
      <c r="K108" s="96">
        <v>0</v>
      </c>
      <c r="L108" s="96">
        <v>0</v>
      </c>
      <c r="M108" s="96">
        <v>0</v>
      </c>
      <c r="N108" s="96">
        <v>0</v>
      </c>
      <c r="O108" s="109">
        <v>0</v>
      </c>
    </row>
    <row r="109" spans="1:15" x14ac:dyDescent="0.2">
      <c r="A109" s="229"/>
      <c r="B109" s="107" t="s">
        <v>89</v>
      </c>
      <c r="C109" s="108">
        <v>0</v>
      </c>
      <c r="D109" s="96">
        <v>0</v>
      </c>
      <c r="E109" s="96">
        <v>0</v>
      </c>
      <c r="F109" s="96">
        <v>0</v>
      </c>
      <c r="G109" s="96">
        <v>0</v>
      </c>
      <c r="H109" s="96">
        <v>0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  <c r="N109" s="96">
        <v>0</v>
      </c>
      <c r="O109" s="109">
        <v>0</v>
      </c>
    </row>
    <row r="110" spans="1:15" x14ac:dyDescent="0.2">
      <c r="A110" s="97" t="s">
        <v>83</v>
      </c>
      <c r="B110" s="97" t="s">
        <v>70</v>
      </c>
      <c r="C110" s="104">
        <v>349.3143356190468</v>
      </c>
      <c r="D110" s="105">
        <v>327.48218964285638</v>
      </c>
      <c r="E110" s="105">
        <v>276.54051569841204</v>
      </c>
      <c r="F110" s="105">
        <v>189.21193179365036</v>
      </c>
      <c r="G110" s="105">
        <v>312.92742565872942</v>
      </c>
      <c r="H110" s="105">
        <v>392.97862757142764</v>
      </c>
      <c r="I110" s="105">
        <v>414.81077354761806</v>
      </c>
      <c r="J110" s="105">
        <v>392.97862757142764</v>
      </c>
      <c r="K110" s="105">
        <v>385.70124557936418</v>
      </c>
      <c r="L110" s="105">
        <v>225.59884175396772</v>
      </c>
      <c r="M110" s="105">
        <v>276.54051569841204</v>
      </c>
      <c r="N110" s="105">
        <v>422.08815553968157</v>
      </c>
      <c r="O110" s="106">
        <v>3966.1731856745937</v>
      </c>
    </row>
    <row r="111" spans="1:15" x14ac:dyDescent="0.2">
      <c r="A111" s="229"/>
      <c r="B111" s="107" t="s">
        <v>25</v>
      </c>
      <c r="C111" s="108">
        <v>-286.01025815754565</v>
      </c>
      <c r="D111" s="96">
        <v>-268.13461702269899</v>
      </c>
      <c r="E111" s="96">
        <v>-226.42478770805695</v>
      </c>
      <c r="F111" s="96">
        <v>-154.92222316867054</v>
      </c>
      <c r="G111" s="96">
        <v>-256.21752293280127</v>
      </c>
      <c r="H111" s="96">
        <v>-321.76154042723886</v>
      </c>
      <c r="I111" s="96">
        <v>-339.6371815620854</v>
      </c>
      <c r="J111" s="96">
        <v>-321.76154042723886</v>
      </c>
      <c r="K111" s="96">
        <v>-315.80299338228991</v>
      </c>
      <c r="L111" s="96">
        <v>-184.71495839341489</v>
      </c>
      <c r="M111" s="96">
        <v>-226.42478770805695</v>
      </c>
      <c r="N111" s="96">
        <v>-345.59572860703429</v>
      </c>
      <c r="O111" s="109">
        <v>-3247.4081394971327</v>
      </c>
    </row>
    <row r="112" spans="1:15" x14ac:dyDescent="0.2">
      <c r="A112" s="229"/>
      <c r="B112" s="107" t="s">
        <v>26</v>
      </c>
      <c r="C112" s="108">
        <v>-15.618190177454625</v>
      </c>
      <c r="D112" s="96">
        <v>-14.642053291363712</v>
      </c>
      <c r="E112" s="96">
        <v>-12.364400557151578</v>
      </c>
      <c r="F112" s="96">
        <v>-8.4598530127879226</v>
      </c>
      <c r="G112" s="96">
        <v>-13.991295367303103</v>
      </c>
      <c r="H112" s="96">
        <v>-17.570463949636455</v>
      </c>
      <c r="I112" s="96">
        <v>-18.546600835727368</v>
      </c>
      <c r="J112" s="96">
        <v>-17.570463949636455</v>
      </c>
      <c r="K112" s="96">
        <v>-17.245084987606148</v>
      </c>
      <c r="L112" s="96">
        <v>-10.086747822939445</v>
      </c>
      <c r="M112" s="96">
        <v>-12.364400557151578</v>
      </c>
      <c r="N112" s="96">
        <v>-18.871979797757671</v>
      </c>
      <c r="O112" s="109">
        <v>-177.33153430651609</v>
      </c>
    </row>
    <row r="113" spans="1:15" x14ac:dyDescent="0.2">
      <c r="A113" s="229"/>
      <c r="B113" s="107" t="s">
        <v>27</v>
      </c>
      <c r="C113" s="108">
        <v>-301.62844833500026</v>
      </c>
      <c r="D113" s="96">
        <v>-282.7766703140627</v>
      </c>
      <c r="E113" s="96">
        <v>-238.78918826520854</v>
      </c>
      <c r="F113" s="96">
        <v>-163.38207618145847</v>
      </c>
      <c r="G113" s="96">
        <v>-270.20881830010438</v>
      </c>
      <c r="H113" s="96">
        <v>-339.33200437687532</v>
      </c>
      <c r="I113" s="96">
        <v>-358.18378239781276</v>
      </c>
      <c r="J113" s="96">
        <v>-339.33200437687532</v>
      </c>
      <c r="K113" s="96">
        <v>-333.04807836989607</v>
      </c>
      <c r="L113" s="96">
        <v>-194.80170621635435</v>
      </c>
      <c r="M113" s="96">
        <v>-238.78918826520854</v>
      </c>
      <c r="N113" s="96">
        <v>-364.46770840479195</v>
      </c>
      <c r="O113" s="109">
        <v>-3424.7396738036491</v>
      </c>
    </row>
    <row r="114" spans="1:15" x14ac:dyDescent="0.2">
      <c r="A114" s="229"/>
      <c r="B114" s="107" t="s">
        <v>49</v>
      </c>
      <c r="C114" s="108">
        <v>635.32459377659245</v>
      </c>
      <c r="D114" s="96">
        <v>595.61680666555537</v>
      </c>
      <c r="E114" s="96">
        <v>502.96530340646899</v>
      </c>
      <c r="F114" s="96">
        <v>344.13415496232091</v>
      </c>
      <c r="G114" s="96">
        <v>569.14494859153069</v>
      </c>
      <c r="H114" s="96">
        <v>714.74016799866649</v>
      </c>
      <c r="I114" s="96">
        <v>754.44795510970346</v>
      </c>
      <c r="J114" s="96">
        <v>714.74016799866649</v>
      </c>
      <c r="K114" s="96">
        <v>701.5042389616541</v>
      </c>
      <c r="L114" s="96">
        <v>410.31380014738261</v>
      </c>
      <c r="M114" s="96">
        <v>502.96530340646899</v>
      </c>
      <c r="N114" s="96">
        <v>767.68388414671585</v>
      </c>
      <c r="O114" s="109">
        <v>7213.5813251717254</v>
      </c>
    </row>
    <row r="115" spans="1:15" x14ac:dyDescent="0.2">
      <c r="A115" s="229"/>
      <c r="B115" s="107" t="s">
        <v>87</v>
      </c>
      <c r="C115" s="108">
        <v>0</v>
      </c>
      <c r="D115" s="96">
        <v>0</v>
      </c>
      <c r="E115" s="96">
        <v>0</v>
      </c>
      <c r="F115" s="96"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v>0</v>
      </c>
      <c r="L115" s="96">
        <v>0</v>
      </c>
      <c r="M115" s="96">
        <v>0</v>
      </c>
      <c r="N115" s="96">
        <v>0</v>
      </c>
      <c r="O115" s="109">
        <v>0</v>
      </c>
    </row>
    <row r="116" spans="1:15" x14ac:dyDescent="0.2">
      <c r="A116" s="229"/>
      <c r="B116" s="107" t="s">
        <v>89</v>
      </c>
      <c r="C116" s="108">
        <v>0</v>
      </c>
      <c r="D116" s="96">
        <v>0</v>
      </c>
      <c r="E116" s="96">
        <v>0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96">
        <v>0</v>
      </c>
      <c r="M116" s="96">
        <v>0</v>
      </c>
      <c r="N116" s="96">
        <v>0</v>
      </c>
      <c r="O116" s="109">
        <v>0</v>
      </c>
    </row>
    <row r="117" spans="1:15" x14ac:dyDescent="0.2">
      <c r="A117" s="97" t="s">
        <v>71</v>
      </c>
      <c r="B117" s="98"/>
      <c r="C117" s="104">
        <v>61552.096888872875</v>
      </c>
      <c r="D117" s="105">
        <v>59609.035896991918</v>
      </c>
      <c r="E117" s="105">
        <v>52950.231374253846</v>
      </c>
      <c r="F117" s="105">
        <v>47011.887668730058</v>
      </c>
      <c r="G117" s="105">
        <v>64273.837753904612</v>
      </c>
      <c r="H117" s="105">
        <v>74804.209496420444</v>
      </c>
      <c r="I117" s="105">
        <v>78355.571908547441</v>
      </c>
      <c r="J117" s="105">
        <v>76361.569242722064</v>
      </c>
      <c r="K117" s="105">
        <v>70903.532748674435</v>
      </c>
      <c r="L117" s="105">
        <v>51283.710898071309</v>
      </c>
      <c r="M117" s="105">
        <v>52499.033690745906</v>
      </c>
      <c r="N117" s="105">
        <v>72147.965069317273</v>
      </c>
      <c r="O117" s="106">
        <v>761752.68263725215</v>
      </c>
    </row>
    <row r="118" spans="1:15" x14ac:dyDescent="0.2">
      <c r="A118" s="97" t="s">
        <v>28</v>
      </c>
      <c r="B118" s="98"/>
      <c r="C118" s="244">
        <v>-50397.390906177519</v>
      </c>
      <c r="D118" s="245">
        <v>-48806.458845176174</v>
      </c>
      <c r="E118" s="245">
        <v>-43354.388299047954</v>
      </c>
      <c r="F118" s="245">
        <v>-38492.213910369675</v>
      </c>
      <c r="G118" s="245">
        <v>-52625.887500988385</v>
      </c>
      <c r="H118" s="245">
        <v>-61247.90507502939</v>
      </c>
      <c r="I118" s="245">
        <v>-64155.676032964453</v>
      </c>
      <c r="J118" s="245">
        <v>-62523.034142648467</v>
      </c>
      <c r="K118" s="245">
        <v>-58054.123858936815</v>
      </c>
      <c r="L118" s="245">
        <v>-41989.881025754672</v>
      </c>
      <c r="M118" s="245">
        <v>-42984.958382261124</v>
      </c>
      <c r="N118" s="245">
        <v>-59073.035403623071</v>
      </c>
      <c r="O118" s="246">
        <v>-623704.95338297775</v>
      </c>
    </row>
    <row r="119" spans="1:15" x14ac:dyDescent="0.2">
      <c r="A119" s="97" t="s">
        <v>29</v>
      </c>
      <c r="B119" s="98"/>
      <c r="C119" s="244">
        <v>-2752.0552608523171</v>
      </c>
      <c r="D119" s="245">
        <v>-2665.1790779902258</v>
      </c>
      <c r="E119" s="245">
        <v>-2367.4573277324971</v>
      </c>
      <c r="F119" s="245">
        <v>-2101.9480947157681</v>
      </c>
      <c r="G119" s="245">
        <v>-2873.7469926516496</v>
      </c>
      <c r="H119" s="245">
        <v>-3344.5703507095027</v>
      </c>
      <c r="I119" s="245">
        <v>-3503.3552841802907</v>
      </c>
      <c r="J119" s="245">
        <v>-3414.2014485839877</v>
      </c>
      <c r="K119" s="245">
        <v>-3170.1672270612594</v>
      </c>
      <c r="L119" s="245">
        <v>-2292.9455454275567</v>
      </c>
      <c r="M119" s="245">
        <v>-2347.2838320866176</v>
      </c>
      <c r="N119" s="245">
        <v>-3225.8070295684406</v>
      </c>
      <c r="O119" s="246">
        <v>-34058.717471560121</v>
      </c>
    </row>
    <row r="120" spans="1:15" x14ac:dyDescent="0.2">
      <c r="A120" s="97" t="s">
        <v>30</v>
      </c>
      <c r="B120" s="98"/>
      <c r="C120" s="244">
        <v>-53149.446167029833</v>
      </c>
      <c r="D120" s="245">
        <v>-51471.637923166403</v>
      </c>
      <c r="E120" s="245">
        <v>-45721.845626780472</v>
      </c>
      <c r="F120" s="245">
        <v>-40594.162005085454</v>
      </c>
      <c r="G120" s="245">
        <v>-55499.634493640049</v>
      </c>
      <c r="H120" s="245">
        <v>-64592.475425738907</v>
      </c>
      <c r="I120" s="245">
        <v>-67659.031317144749</v>
      </c>
      <c r="J120" s="245">
        <v>-65937.235591232456</v>
      </c>
      <c r="K120" s="245">
        <v>-61224.291085998069</v>
      </c>
      <c r="L120" s="245">
        <v>-44282.826571182224</v>
      </c>
      <c r="M120" s="245">
        <v>-45332.242214347752</v>
      </c>
      <c r="N120" s="245">
        <v>-62298.842433191508</v>
      </c>
      <c r="O120" s="246">
        <v>-657763.67085453775</v>
      </c>
    </row>
    <row r="121" spans="1:15" x14ac:dyDescent="0.2">
      <c r="A121" s="97" t="s">
        <v>61</v>
      </c>
      <c r="B121" s="98"/>
      <c r="C121" s="104">
        <v>111949.48779505039</v>
      </c>
      <c r="D121" s="105">
        <v>108415.4947421681</v>
      </c>
      <c r="E121" s="105">
        <v>96304.619673301815</v>
      </c>
      <c r="F121" s="105">
        <v>85504.101579099733</v>
      </c>
      <c r="G121" s="105">
        <v>116899.72525489301</v>
      </c>
      <c r="H121" s="105">
        <v>136052.1145714499</v>
      </c>
      <c r="I121" s="105">
        <v>142511.24794151189</v>
      </c>
      <c r="J121" s="105">
        <v>138884.60338537052</v>
      </c>
      <c r="K121" s="105">
        <v>128957.65660761124</v>
      </c>
      <c r="L121" s="105">
        <v>93273.591923825967</v>
      </c>
      <c r="M121" s="105">
        <v>95483.992073007044</v>
      </c>
      <c r="N121" s="105">
        <v>131221.00047294036</v>
      </c>
      <c r="O121" s="106">
        <v>1385457.6360202299</v>
      </c>
    </row>
    <row r="122" spans="1:15" x14ac:dyDescent="0.2">
      <c r="A122" s="97" t="s">
        <v>88</v>
      </c>
      <c r="B122" s="98"/>
      <c r="C122" s="104">
        <v>0</v>
      </c>
      <c r="D122" s="105">
        <v>0</v>
      </c>
      <c r="E122" s="105">
        <v>0</v>
      </c>
      <c r="F122" s="105">
        <v>0</v>
      </c>
      <c r="G122" s="105">
        <v>0</v>
      </c>
      <c r="H122" s="105">
        <v>0</v>
      </c>
      <c r="I122" s="105">
        <v>0</v>
      </c>
      <c r="J122" s="105">
        <v>0</v>
      </c>
      <c r="K122" s="105">
        <v>0</v>
      </c>
      <c r="L122" s="105">
        <v>0</v>
      </c>
      <c r="M122" s="105">
        <v>0</v>
      </c>
      <c r="N122" s="105">
        <v>0</v>
      </c>
      <c r="O122" s="106">
        <v>0</v>
      </c>
    </row>
    <row r="123" spans="1:15" x14ac:dyDescent="0.2">
      <c r="A123" s="110" t="s">
        <v>90</v>
      </c>
      <c r="B123" s="230"/>
      <c r="C123" s="111">
        <v>0</v>
      </c>
      <c r="D123" s="112">
        <v>0</v>
      </c>
      <c r="E123" s="112">
        <v>0</v>
      </c>
      <c r="F123" s="112">
        <v>0</v>
      </c>
      <c r="G123" s="112">
        <v>0</v>
      </c>
      <c r="H123" s="112">
        <v>0</v>
      </c>
      <c r="I123" s="112">
        <v>0</v>
      </c>
      <c r="J123" s="112">
        <v>0</v>
      </c>
      <c r="K123" s="112">
        <v>0</v>
      </c>
      <c r="L123" s="112">
        <v>0</v>
      </c>
      <c r="M123" s="112">
        <v>0</v>
      </c>
      <c r="N123" s="112">
        <v>0</v>
      </c>
      <c r="O123" s="113">
        <v>0</v>
      </c>
    </row>
    <row r="125" spans="1:15" x14ac:dyDescent="0.2">
      <c r="L125" s="233"/>
      <c r="O125" s="233"/>
    </row>
    <row r="126" spans="1:15" x14ac:dyDescent="0.2">
      <c r="L126" s="96"/>
      <c r="O126" s="96"/>
    </row>
  </sheetData>
  <phoneticPr fontId="6" type="noConversion"/>
  <pageMargins left="0.5" right="0.5" top="0.73" bottom="0.98" header="0.5" footer="0.5"/>
  <pageSetup scale="5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tabSelected="1" zoomScale="80" zoomScaleNormal="80" zoomScaleSheetLayoutView="100" workbookViewId="0">
      <selection activeCell="G19" sqref="C19:G19"/>
    </sheetView>
  </sheetViews>
  <sheetFormatPr defaultColWidth="8.7109375" defaultRowHeight="12.75" x14ac:dyDescent="0.2"/>
  <cols>
    <col min="1" max="1" width="0.5703125" style="1" customWidth="1"/>
    <col min="2" max="2" width="10.28515625" style="1" bestFit="1" customWidth="1"/>
    <col min="3" max="3" width="10.7109375" style="1" bestFit="1" customWidth="1"/>
    <col min="4" max="4" width="11" style="160" customWidth="1"/>
    <col min="5" max="5" width="24.28515625" style="1" customWidth="1"/>
    <col min="6" max="6" width="7.7109375" style="160" customWidth="1"/>
    <col min="7" max="7" width="8.140625" style="160" customWidth="1"/>
    <col min="8" max="8" width="11.140625" style="160" bestFit="1" customWidth="1"/>
    <col min="9" max="9" width="11.28515625" style="161" customWidth="1"/>
    <col min="10" max="10" width="14.85546875" style="160" bestFit="1" customWidth="1"/>
    <col min="11" max="11" width="14.85546875" style="162" bestFit="1" customWidth="1"/>
    <col min="12" max="12" width="14.7109375" style="160" customWidth="1"/>
    <col min="13" max="13" width="13.42578125" style="124" bestFit="1" customWidth="1"/>
    <col min="14" max="15" width="13.42578125" style="124" customWidth="1"/>
    <col min="16" max="16" width="14.85546875" style="124" bestFit="1" customWidth="1"/>
    <col min="17" max="17" width="13.42578125" style="124" customWidth="1"/>
    <col min="18" max="18" width="15.5703125" style="228" customWidth="1"/>
    <col min="19" max="16384" width="8.7109375" style="1"/>
  </cols>
  <sheetData>
    <row r="1" spans="2:19" ht="22.5" x14ac:dyDescent="0.2">
      <c r="B1" s="10" t="s">
        <v>98</v>
      </c>
      <c r="C1" s="114"/>
      <c r="D1" s="115"/>
      <c r="E1" s="114"/>
      <c r="F1" s="116" t="s">
        <v>12</v>
      </c>
      <c r="G1" s="117"/>
      <c r="H1" s="118"/>
      <c r="I1" s="119"/>
      <c r="J1" s="235" t="str">
        <f>"True-Up ARR
(CY"&amp;R1&amp;")"</f>
        <v>True-Up ARR
(CY2022)</v>
      </c>
      <c r="K1" s="235" t="str">
        <f>"Projected ARR
(Jan'"&amp;RIGHT(R$1,2)&amp;" - Dec'"&amp;RIGHT(R$1,2)&amp;")"</f>
        <v>Projected ARR
(Jan'22 - Dec'22)</v>
      </c>
      <c r="L1" s="120" t="s">
        <v>45</v>
      </c>
      <c r="M1" s="121"/>
      <c r="N1" s="52"/>
      <c r="O1" s="52"/>
      <c r="P1" s="52"/>
      <c r="Q1" s="52"/>
      <c r="R1" s="122">
        <v>2022</v>
      </c>
      <c r="S1" s="2"/>
    </row>
    <row r="2" spans="2:19" x14ac:dyDescent="0.2">
      <c r="B2" s="10" t="s">
        <v>52</v>
      </c>
      <c r="C2" s="114"/>
      <c r="D2" s="115"/>
      <c r="E2" s="114"/>
      <c r="F2" s="123">
        <v>1</v>
      </c>
      <c r="G2" s="252"/>
      <c r="H2" s="252"/>
      <c r="I2" s="125" t="s">
        <v>6</v>
      </c>
      <c r="J2" s="126">
        <v>761752.68263725226</v>
      </c>
      <c r="K2" s="126">
        <v>1294950.3532651395</v>
      </c>
      <c r="L2" s="247"/>
      <c r="M2" s="128"/>
      <c r="N2" s="52"/>
      <c r="O2" s="52"/>
      <c r="P2" s="52"/>
      <c r="Q2" s="52"/>
      <c r="R2" s="1"/>
    </row>
    <row r="3" spans="2:19" x14ac:dyDescent="0.2">
      <c r="B3" s="10" t="str">
        <f>"for CY"&amp;R1&amp;" SPP Network Transmission Service"</f>
        <v>for CY2022 SPP Network Transmission Service</v>
      </c>
      <c r="C3" s="114"/>
      <c r="D3" s="115"/>
      <c r="E3" s="114"/>
      <c r="F3" s="123"/>
      <c r="G3" s="252"/>
      <c r="H3" s="252"/>
      <c r="I3" s="125" t="s">
        <v>10</v>
      </c>
      <c r="J3" s="129">
        <v>7.277381992063475</v>
      </c>
      <c r="K3" s="129">
        <v>13.235929037012342</v>
      </c>
      <c r="L3" s="149" t="str">
        <f>"Inv. Jan-Dec'"&amp;RIGHT(R1,2)</f>
        <v>Inv. Jan-Dec'22</v>
      </c>
      <c r="M3" s="128"/>
      <c r="N3" s="52"/>
      <c r="O3" s="52"/>
      <c r="P3" s="52"/>
      <c r="Q3" s="52"/>
      <c r="R3" s="1"/>
    </row>
    <row r="4" spans="2:19" x14ac:dyDescent="0.2">
      <c r="B4" s="9"/>
      <c r="C4" s="114"/>
      <c r="D4" s="115"/>
      <c r="E4" s="114"/>
      <c r="F4" s="123"/>
      <c r="G4" s="124"/>
      <c r="H4" s="124"/>
      <c r="I4" s="51"/>
      <c r="J4" s="232"/>
      <c r="K4" s="130"/>
      <c r="L4" s="124"/>
      <c r="M4" s="131"/>
      <c r="R4" s="1"/>
    </row>
    <row r="5" spans="2:19" x14ac:dyDescent="0.2">
      <c r="B5" s="9"/>
      <c r="C5" s="114"/>
      <c r="D5" s="115"/>
      <c r="E5" s="114"/>
      <c r="F5" s="123"/>
      <c r="G5" s="124"/>
      <c r="H5" s="124"/>
      <c r="I5" s="125"/>
      <c r="J5" s="232"/>
      <c r="K5" s="126">
        <v>0</v>
      </c>
      <c r="L5" s="127"/>
      <c r="M5" s="132"/>
      <c r="N5" s="133"/>
      <c r="O5" s="133"/>
      <c r="P5" s="133"/>
      <c r="Q5" s="133"/>
      <c r="R5" s="52"/>
      <c r="S5" s="52"/>
    </row>
    <row r="6" spans="2:19" x14ac:dyDescent="0.2">
      <c r="B6" s="10" t="s">
        <v>23</v>
      </c>
      <c r="D6" s="115"/>
      <c r="E6" s="114"/>
      <c r="F6" s="135"/>
      <c r="G6" s="136"/>
      <c r="H6" s="137"/>
      <c r="I6" s="138"/>
      <c r="J6" s="139"/>
      <c r="K6" s="129">
        <v>0</v>
      </c>
      <c r="L6" s="231"/>
      <c r="M6" s="132"/>
      <c r="N6" s="133"/>
      <c r="O6" s="133"/>
      <c r="P6" s="133"/>
      <c r="Q6" s="133"/>
      <c r="R6" s="52"/>
      <c r="S6" s="52"/>
    </row>
    <row r="7" spans="2:19" x14ac:dyDescent="0.2">
      <c r="B7" s="9" t="s">
        <v>77</v>
      </c>
      <c r="D7" s="115"/>
      <c r="E7" s="114"/>
      <c r="F7" s="123"/>
      <c r="G7" s="253"/>
      <c r="H7" s="252"/>
      <c r="I7" s="125"/>
      <c r="J7" s="140"/>
      <c r="K7" s="127"/>
      <c r="L7" s="127"/>
      <c r="M7" s="141"/>
      <c r="N7" s="142"/>
      <c r="O7" s="142"/>
      <c r="P7" s="142"/>
      <c r="Q7" s="142"/>
      <c r="R7" s="1"/>
    </row>
    <row r="8" spans="2:19" x14ac:dyDescent="0.2">
      <c r="B8" s="10"/>
      <c r="C8" s="114"/>
      <c r="D8" s="115"/>
      <c r="E8" s="114"/>
      <c r="F8" s="123"/>
      <c r="G8" s="252"/>
      <c r="H8" s="252"/>
      <c r="I8" s="125"/>
      <c r="J8" s="143"/>
      <c r="K8" s="127"/>
      <c r="L8" s="144"/>
      <c r="M8" s="128"/>
      <c r="N8" s="52"/>
      <c r="O8" s="52"/>
      <c r="P8" s="52"/>
      <c r="Q8" s="52"/>
      <c r="R8" s="134"/>
    </row>
    <row r="9" spans="2:19" x14ac:dyDescent="0.2">
      <c r="B9" s="145"/>
      <c r="C9" s="114"/>
      <c r="D9" s="115"/>
      <c r="E9" s="114"/>
      <c r="F9" s="123"/>
      <c r="G9" s="124"/>
      <c r="H9" s="124"/>
      <c r="I9" s="146"/>
      <c r="J9" s="147"/>
      <c r="K9" s="148"/>
      <c r="L9" s="149"/>
      <c r="M9" s="128"/>
      <c r="N9" s="52"/>
      <c r="O9" s="52"/>
      <c r="P9" s="52"/>
      <c r="Q9" s="52"/>
      <c r="R9" s="134"/>
    </row>
    <row r="10" spans="2:19" ht="13.5" thickBot="1" x14ac:dyDescent="0.25">
      <c r="B10" s="9"/>
      <c r="D10" s="1"/>
      <c r="E10" s="150"/>
      <c r="F10" s="151"/>
      <c r="G10" s="152"/>
      <c r="H10" s="153"/>
      <c r="I10" s="154"/>
      <c r="J10" s="155"/>
      <c r="K10" s="155"/>
      <c r="L10" s="156"/>
      <c r="M10" s="157"/>
      <c r="R10" s="158"/>
    </row>
    <row r="11" spans="2:19" x14ac:dyDescent="0.2">
      <c r="B11" s="159"/>
      <c r="E11" s="150"/>
      <c r="L11" s="163"/>
      <c r="M11" s="1"/>
      <c r="N11" s="1"/>
      <c r="O11" s="1"/>
      <c r="P11" s="1"/>
      <c r="Q11" s="1"/>
      <c r="R11" s="134"/>
    </row>
    <row r="12" spans="2:19" x14ac:dyDescent="0.2">
      <c r="E12" s="150"/>
      <c r="L12" s="163"/>
      <c r="R12" s="164" t="s">
        <v>60</v>
      </c>
    </row>
    <row r="13" spans="2:19" x14ac:dyDescent="0.2">
      <c r="E13" s="150"/>
      <c r="F13" s="165"/>
      <c r="G13" s="166"/>
      <c r="H13" s="166"/>
      <c r="I13" s="167" t="s">
        <v>58</v>
      </c>
      <c r="J13" s="168">
        <f t="shared" ref="J13:R13" si="0">SUM(J56:J211)</f>
        <v>202049.23362765028</v>
      </c>
      <c r="K13" s="168">
        <f t="shared" si="0"/>
        <v>367482.33378361037</v>
      </c>
      <c r="L13" s="169">
        <f t="shared" si="0"/>
        <v>-165433.10015596051</v>
      </c>
      <c r="M13" s="170">
        <f t="shared" si="0"/>
        <v>-9033.821501809367</v>
      </c>
      <c r="N13" s="168">
        <f t="shared" si="0"/>
        <v>-174466.92165776968</v>
      </c>
      <c r="O13" s="168">
        <f t="shared" si="0"/>
        <v>0</v>
      </c>
      <c r="P13" s="168">
        <f t="shared" si="0"/>
        <v>0</v>
      </c>
      <c r="Q13" s="168">
        <f t="shared" si="0"/>
        <v>0</v>
      </c>
      <c r="R13" s="169">
        <f t="shared" si="0"/>
        <v>-174466.92165776968</v>
      </c>
    </row>
    <row r="14" spans="2:19" x14ac:dyDescent="0.2">
      <c r="E14" s="150"/>
      <c r="F14" s="171"/>
      <c r="G14" s="171"/>
      <c r="H14" s="171"/>
      <c r="I14" s="172" t="s">
        <v>59</v>
      </c>
      <c r="J14" s="168">
        <f>SUM(J20:J211)</f>
        <v>761752.68263725261</v>
      </c>
      <c r="K14" s="168">
        <f>SUM(K20:K211)</f>
        <v>1385457.6360202297</v>
      </c>
      <c r="L14" s="169">
        <f>SUM(L20:L211)</f>
        <v>-623704.95338297752</v>
      </c>
      <c r="M14" s="234">
        <v>-34058.717471560114</v>
      </c>
      <c r="N14" s="168">
        <f>SUM(N20:N211)</f>
        <v>-657763.67085453833</v>
      </c>
      <c r="O14" s="168">
        <f>SUM(O20:O211)</f>
        <v>0</v>
      </c>
      <c r="P14" s="168">
        <f>SUM(P20:P211)</f>
        <v>0</v>
      </c>
      <c r="Q14" s="168">
        <f>SUM(Q20:Q211)</f>
        <v>0</v>
      </c>
      <c r="R14" s="169">
        <f>SUM(R20:R211)</f>
        <v>-657763.67085453833</v>
      </c>
    </row>
    <row r="15" spans="2:19" x14ac:dyDescent="0.2">
      <c r="B15" s="173" t="s">
        <v>82</v>
      </c>
      <c r="E15" s="150"/>
      <c r="J15" s="161"/>
      <c r="L15" s="163"/>
      <c r="M15" s="248"/>
      <c r="N15" s="174"/>
      <c r="O15" s="174"/>
      <c r="P15" s="174"/>
      <c r="Q15" s="174"/>
      <c r="R15" s="175" t="s">
        <v>20</v>
      </c>
    </row>
    <row r="16" spans="2:19" x14ac:dyDescent="0.2">
      <c r="B16" s="176" t="str">
        <f>"** Actual Trued-Up CY"&amp;R1&amp;" Charge reflects "&amp;R1&amp;" True-UP Rate x MW"</f>
        <v>** Actual Trued-Up CY2022 Charge reflects 2022 True-UP Rate x MW</v>
      </c>
      <c r="E16" s="150"/>
      <c r="F16" s="124"/>
      <c r="G16" s="5"/>
      <c r="J16" s="177"/>
      <c r="L16" s="178" t="s">
        <v>11</v>
      </c>
      <c r="M16" s="174"/>
      <c r="N16" s="174"/>
      <c r="O16" s="174"/>
      <c r="P16" s="174"/>
      <c r="Q16" s="174"/>
      <c r="R16" s="179"/>
    </row>
    <row r="17" spans="1:18" x14ac:dyDescent="0.2">
      <c r="B17" s="180" t="s">
        <v>62</v>
      </c>
      <c r="E17" s="150"/>
      <c r="I17" s="181"/>
      <c r="J17" s="182"/>
      <c r="K17" s="183"/>
      <c r="L17" s="183"/>
      <c r="M17" s="183"/>
      <c r="N17" s="183"/>
      <c r="O17" s="183"/>
      <c r="P17" s="183"/>
      <c r="Q17" s="183"/>
      <c r="R17" s="184"/>
    </row>
    <row r="18" spans="1:18" ht="3.6" customHeight="1" x14ac:dyDescent="0.2">
      <c r="I18" s="185"/>
      <c r="J18" s="182"/>
      <c r="K18" s="185"/>
      <c r="L18" s="185"/>
      <c r="M18" s="186"/>
      <c r="N18" s="186"/>
      <c r="O18" s="186"/>
      <c r="P18" s="186"/>
      <c r="Q18" s="186"/>
      <c r="R18" s="187"/>
    </row>
    <row r="19" spans="1:18" ht="38.25" customHeight="1" x14ac:dyDescent="0.2">
      <c r="B19" s="188" t="s">
        <v>53</v>
      </c>
      <c r="C19" s="249" t="s">
        <v>4</v>
      </c>
      <c r="D19" s="249" t="s">
        <v>5</v>
      </c>
      <c r="E19" s="236" t="s">
        <v>0</v>
      </c>
      <c r="F19" s="237" t="s">
        <v>12</v>
      </c>
      <c r="G19" s="250" t="s">
        <v>1</v>
      </c>
      <c r="H19" s="189" t="s">
        <v>48</v>
      </c>
      <c r="I19" s="189" t="s">
        <v>46</v>
      </c>
      <c r="J19" s="190" t="str">
        <f>"True-Up Charge"</f>
        <v>True-Up Charge</v>
      </c>
      <c r="K19" s="190" t="s">
        <v>47</v>
      </c>
      <c r="L19" s="191" t="s">
        <v>3</v>
      </c>
      <c r="M19" s="192" t="s">
        <v>7</v>
      </c>
      <c r="N19" s="193" t="s">
        <v>99</v>
      </c>
      <c r="O19" s="193" t="s">
        <v>84</v>
      </c>
      <c r="P19" s="193" t="s">
        <v>85</v>
      </c>
      <c r="Q19" s="193" t="s">
        <v>86</v>
      </c>
      <c r="R19" s="194" t="s">
        <v>2</v>
      </c>
    </row>
    <row r="20" spans="1:18" s="52" customFormat="1" ht="12.75" customHeight="1" x14ac:dyDescent="0.2">
      <c r="A20" s="124">
        <v>1</v>
      </c>
      <c r="B20" s="195">
        <f>DATE($R$1,A20,1)</f>
        <v>44562</v>
      </c>
      <c r="C20" s="238">
        <v>44595</v>
      </c>
      <c r="D20" s="238">
        <v>44615</v>
      </c>
      <c r="E20" s="196" t="s">
        <v>21</v>
      </c>
      <c r="F20" s="124">
        <v>9</v>
      </c>
      <c r="G20" s="197">
        <v>2899</v>
      </c>
      <c r="H20" s="198">
        <f>+$K$3</f>
        <v>13.235929037012342</v>
      </c>
      <c r="I20" s="198">
        <f t="shared" ref="I20:I63" si="1">$J$3</f>
        <v>7.277381992063475</v>
      </c>
      <c r="J20" s="199">
        <f t="shared" ref="J20:J108" si="2">+$G20*I20</f>
        <v>21097.130394992015</v>
      </c>
      <c r="K20" s="200">
        <f>+$G20*H20</f>
        <v>38370.958278298778</v>
      </c>
      <c r="L20" s="201">
        <f t="shared" ref="L20:L34" si="3">+J20-K20</f>
        <v>-17273.827883306763</v>
      </c>
      <c r="M20" s="202">
        <f>G20/$G$212*$M$14</f>
        <v>-943.2736109258534</v>
      </c>
      <c r="N20" s="203">
        <f>SUM(L20:M20)</f>
        <v>-18217.101494232618</v>
      </c>
      <c r="O20" s="202">
        <v>0</v>
      </c>
      <c r="P20" s="202">
        <v>0</v>
      </c>
      <c r="Q20" s="202">
        <v>0</v>
      </c>
      <c r="R20" s="203">
        <f>+N20-Q20</f>
        <v>-18217.101494232618</v>
      </c>
    </row>
    <row r="21" spans="1:18" x14ac:dyDescent="0.2">
      <c r="A21" s="160">
        <v>2</v>
      </c>
      <c r="B21" s="195">
        <f t="shared" ref="B21:B108" si="4">DATE($R$1,A21,1)</f>
        <v>44593</v>
      </c>
      <c r="C21" s="238">
        <v>44623</v>
      </c>
      <c r="D21" s="238">
        <v>44642</v>
      </c>
      <c r="E21" s="204" t="s">
        <v>21</v>
      </c>
      <c r="F21" s="160">
        <v>9</v>
      </c>
      <c r="G21" s="197">
        <v>2759</v>
      </c>
      <c r="H21" s="198">
        <f t="shared" ref="H21:H84" si="5">+$K$3</f>
        <v>13.235929037012342</v>
      </c>
      <c r="I21" s="198">
        <f t="shared" si="1"/>
        <v>7.277381992063475</v>
      </c>
      <c r="J21" s="199">
        <f t="shared" si="2"/>
        <v>20078.296916103129</v>
      </c>
      <c r="K21" s="200">
        <f t="shared" ref="K21:K33" si="6">+$G21*H21</f>
        <v>36517.928213117055</v>
      </c>
      <c r="L21" s="201">
        <f t="shared" si="3"/>
        <v>-16439.631297013926</v>
      </c>
      <c r="M21" s="202">
        <f t="shared" ref="M21:M84" si="7">G21/$G$212*$M$14</f>
        <v>-897.72055624161067</v>
      </c>
      <c r="N21" s="203">
        <f t="shared" ref="N21:N84" si="8">SUM(L21:M21)</f>
        <v>-17337.351853255535</v>
      </c>
      <c r="O21" s="202">
        <v>0</v>
      </c>
      <c r="P21" s="202">
        <v>0</v>
      </c>
      <c r="Q21" s="202">
        <v>0</v>
      </c>
      <c r="R21" s="203">
        <f t="shared" ref="R21:R84" si="9">+N21-Q21</f>
        <v>-17337.351853255535</v>
      </c>
    </row>
    <row r="22" spans="1:18" x14ac:dyDescent="0.2">
      <c r="A22" s="160">
        <v>3</v>
      </c>
      <c r="B22" s="195">
        <f t="shared" si="4"/>
        <v>44621</v>
      </c>
      <c r="C22" s="238">
        <v>44656</v>
      </c>
      <c r="D22" s="238">
        <v>44676</v>
      </c>
      <c r="E22" s="204" t="s">
        <v>21</v>
      </c>
      <c r="F22" s="160">
        <v>9</v>
      </c>
      <c r="G22" s="197">
        <v>2450</v>
      </c>
      <c r="H22" s="198">
        <f t="shared" si="5"/>
        <v>13.235929037012342</v>
      </c>
      <c r="I22" s="198">
        <f t="shared" si="1"/>
        <v>7.277381992063475</v>
      </c>
      <c r="J22" s="199">
        <f t="shared" si="2"/>
        <v>17829.585880555514</v>
      </c>
      <c r="K22" s="200">
        <f t="shared" si="6"/>
        <v>32428.026140680238</v>
      </c>
      <c r="L22" s="201">
        <f t="shared" si="3"/>
        <v>-14598.440260124724</v>
      </c>
      <c r="M22" s="202">
        <f t="shared" si="7"/>
        <v>-797.1784569742465</v>
      </c>
      <c r="N22" s="203">
        <f t="shared" si="8"/>
        <v>-15395.618717098971</v>
      </c>
      <c r="O22" s="202">
        <v>0</v>
      </c>
      <c r="P22" s="202">
        <v>0</v>
      </c>
      <c r="Q22" s="202">
        <v>0</v>
      </c>
      <c r="R22" s="203">
        <f t="shared" si="9"/>
        <v>-15395.618717098971</v>
      </c>
    </row>
    <row r="23" spans="1:18" x14ac:dyDescent="0.2">
      <c r="A23" s="124">
        <v>4</v>
      </c>
      <c r="B23" s="195">
        <f t="shared" si="4"/>
        <v>44652</v>
      </c>
      <c r="C23" s="238">
        <v>44685</v>
      </c>
      <c r="D23" s="238">
        <v>44705</v>
      </c>
      <c r="E23" s="204" t="s">
        <v>21</v>
      </c>
      <c r="F23" s="160">
        <v>9</v>
      </c>
      <c r="G23" s="197">
        <v>2395</v>
      </c>
      <c r="H23" s="198">
        <f t="shared" si="5"/>
        <v>13.235929037012342</v>
      </c>
      <c r="I23" s="198">
        <f t="shared" si="1"/>
        <v>7.277381992063475</v>
      </c>
      <c r="J23" s="199">
        <f t="shared" si="2"/>
        <v>17429.329870992024</v>
      </c>
      <c r="K23" s="200">
        <f t="shared" si="6"/>
        <v>31700.050043644558</v>
      </c>
      <c r="L23" s="201">
        <f t="shared" si="3"/>
        <v>-14270.720172652535</v>
      </c>
      <c r="M23" s="202">
        <f t="shared" si="7"/>
        <v>-779.28261406257968</v>
      </c>
      <c r="N23" s="203">
        <f t="shared" si="8"/>
        <v>-15050.002786715115</v>
      </c>
      <c r="O23" s="202">
        <v>0</v>
      </c>
      <c r="P23" s="202">
        <v>0</v>
      </c>
      <c r="Q23" s="202">
        <v>0</v>
      </c>
      <c r="R23" s="203">
        <f t="shared" si="9"/>
        <v>-15050.002786715115</v>
      </c>
    </row>
    <row r="24" spans="1:18" ht="12" customHeight="1" x14ac:dyDescent="0.2">
      <c r="A24" s="160">
        <v>5</v>
      </c>
      <c r="B24" s="195">
        <f t="shared" si="4"/>
        <v>44682</v>
      </c>
      <c r="C24" s="238">
        <v>44715</v>
      </c>
      <c r="D24" s="238">
        <v>44735</v>
      </c>
      <c r="E24" s="54" t="s">
        <v>21</v>
      </c>
      <c r="F24" s="160">
        <v>9</v>
      </c>
      <c r="G24" s="197">
        <v>3482</v>
      </c>
      <c r="H24" s="198">
        <f t="shared" si="5"/>
        <v>13.235929037012342</v>
      </c>
      <c r="I24" s="198">
        <f t="shared" si="1"/>
        <v>7.277381992063475</v>
      </c>
      <c r="J24" s="199">
        <f t="shared" si="2"/>
        <v>25339.844096365021</v>
      </c>
      <c r="K24" s="200">
        <f t="shared" si="6"/>
        <v>46087.504906876973</v>
      </c>
      <c r="L24" s="201">
        <f t="shared" si="3"/>
        <v>-20747.660810511952</v>
      </c>
      <c r="M24" s="202">
        <f t="shared" si="7"/>
        <v>-1132.9695457895211</v>
      </c>
      <c r="N24" s="203">
        <f t="shared" si="8"/>
        <v>-21880.630356301474</v>
      </c>
      <c r="O24" s="202">
        <v>0</v>
      </c>
      <c r="P24" s="202">
        <v>0</v>
      </c>
      <c r="Q24" s="202">
        <v>0</v>
      </c>
      <c r="R24" s="203">
        <f t="shared" si="9"/>
        <v>-21880.630356301474</v>
      </c>
    </row>
    <row r="25" spans="1:18" x14ac:dyDescent="0.2">
      <c r="A25" s="160">
        <v>6</v>
      </c>
      <c r="B25" s="195">
        <f t="shared" si="4"/>
        <v>44713</v>
      </c>
      <c r="C25" s="238">
        <v>44747</v>
      </c>
      <c r="D25" s="238">
        <v>44767</v>
      </c>
      <c r="E25" s="54" t="s">
        <v>21</v>
      </c>
      <c r="F25" s="160">
        <v>9</v>
      </c>
      <c r="G25" s="197">
        <v>4006</v>
      </c>
      <c r="H25" s="198">
        <f t="shared" si="5"/>
        <v>13.235929037012342</v>
      </c>
      <c r="I25" s="198">
        <f t="shared" si="1"/>
        <v>7.277381992063475</v>
      </c>
      <c r="J25" s="199">
        <f t="shared" si="2"/>
        <v>29153.19226020628</v>
      </c>
      <c r="K25" s="200">
        <f t="shared" si="6"/>
        <v>53023.131722271442</v>
      </c>
      <c r="L25" s="205">
        <f t="shared" si="3"/>
        <v>-23869.939462065162</v>
      </c>
      <c r="M25" s="202">
        <f t="shared" si="7"/>
        <v>-1303.4681218934006</v>
      </c>
      <c r="N25" s="203">
        <f t="shared" si="8"/>
        <v>-25173.407583958564</v>
      </c>
      <c r="O25" s="202">
        <v>0</v>
      </c>
      <c r="P25" s="202">
        <v>0</v>
      </c>
      <c r="Q25" s="202">
        <v>0</v>
      </c>
      <c r="R25" s="203">
        <f t="shared" si="9"/>
        <v>-25173.407583958564</v>
      </c>
    </row>
    <row r="26" spans="1:18" x14ac:dyDescent="0.2">
      <c r="A26" s="124">
        <v>7</v>
      </c>
      <c r="B26" s="195">
        <f t="shared" si="4"/>
        <v>44743</v>
      </c>
      <c r="C26" s="238">
        <v>44776</v>
      </c>
      <c r="D26" s="238">
        <v>44796</v>
      </c>
      <c r="E26" s="54" t="s">
        <v>21</v>
      </c>
      <c r="F26" s="160">
        <v>9</v>
      </c>
      <c r="G26" s="197">
        <v>4230</v>
      </c>
      <c r="H26" s="198">
        <f t="shared" si="5"/>
        <v>13.235929037012342</v>
      </c>
      <c r="I26" s="198">
        <f t="shared" si="1"/>
        <v>7.277381992063475</v>
      </c>
      <c r="J26" s="199">
        <f t="shared" si="2"/>
        <v>30783.3258264285</v>
      </c>
      <c r="K26" s="206">
        <f t="shared" si="6"/>
        <v>55987.979826562208</v>
      </c>
      <c r="L26" s="205">
        <f t="shared" si="3"/>
        <v>-25204.654000133709</v>
      </c>
      <c r="M26" s="202">
        <f t="shared" si="7"/>
        <v>-1376.3530093881889</v>
      </c>
      <c r="N26" s="203">
        <f t="shared" si="8"/>
        <v>-26581.007009521898</v>
      </c>
      <c r="O26" s="202">
        <v>0</v>
      </c>
      <c r="P26" s="202">
        <v>0</v>
      </c>
      <c r="Q26" s="202">
        <v>0</v>
      </c>
      <c r="R26" s="203">
        <f t="shared" si="9"/>
        <v>-26581.007009521898</v>
      </c>
    </row>
    <row r="27" spans="1:18" x14ac:dyDescent="0.2">
      <c r="A27" s="160">
        <v>8</v>
      </c>
      <c r="B27" s="195">
        <f t="shared" si="4"/>
        <v>44774</v>
      </c>
      <c r="C27" s="238">
        <v>44809</v>
      </c>
      <c r="D27" s="238">
        <v>44827</v>
      </c>
      <c r="E27" s="54" t="s">
        <v>21</v>
      </c>
      <c r="F27" s="160">
        <v>9</v>
      </c>
      <c r="G27" s="197">
        <v>4151</v>
      </c>
      <c r="H27" s="198">
        <f t="shared" si="5"/>
        <v>13.235929037012342</v>
      </c>
      <c r="I27" s="198">
        <f t="shared" si="1"/>
        <v>7.277381992063475</v>
      </c>
      <c r="J27" s="199">
        <f t="shared" si="2"/>
        <v>30208.412649055485</v>
      </c>
      <c r="K27" s="206">
        <f t="shared" si="6"/>
        <v>54942.341432638234</v>
      </c>
      <c r="L27" s="205">
        <f t="shared" si="3"/>
        <v>-24733.928783582749</v>
      </c>
      <c r="M27" s="202">
        <f t="shared" si="7"/>
        <v>-1350.6480713877947</v>
      </c>
      <c r="N27" s="203">
        <f t="shared" si="8"/>
        <v>-26084.576854970543</v>
      </c>
      <c r="O27" s="202">
        <v>0</v>
      </c>
      <c r="P27" s="202">
        <v>0</v>
      </c>
      <c r="Q27" s="202">
        <v>0</v>
      </c>
      <c r="R27" s="203">
        <f t="shared" si="9"/>
        <v>-26084.576854970543</v>
      </c>
    </row>
    <row r="28" spans="1:18" x14ac:dyDescent="0.2">
      <c r="A28" s="160">
        <v>9</v>
      </c>
      <c r="B28" s="195">
        <f t="shared" si="4"/>
        <v>44805</v>
      </c>
      <c r="C28" s="238">
        <v>44839</v>
      </c>
      <c r="D28" s="238">
        <v>44859</v>
      </c>
      <c r="E28" s="54" t="s">
        <v>21</v>
      </c>
      <c r="F28" s="160">
        <v>9</v>
      </c>
      <c r="G28" s="197">
        <v>3898</v>
      </c>
      <c r="H28" s="198">
        <f t="shared" si="5"/>
        <v>13.235929037012342</v>
      </c>
      <c r="I28" s="198">
        <f t="shared" si="1"/>
        <v>7.277381992063475</v>
      </c>
      <c r="J28" s="199">
        <f t="shared" si="2"/>
        <v>28367.235005063427</v>
      </c>
      <c r="K28" s="206">
        <f t="shared" si="6"/>
        <v>51593.651386274112</v>
      </c>
      <c r="L28" s="205">
        <f t="shared" si="3"/>
        <v>-23226.416381210685</v>
      </c>
      <c r="M28" s="202">
        <f t="shared" si="7"/>
        <v>-1268.3271939941278</v>
      </c>
      <c r="N28" s="203">
        <f t="shared" si="8"/>
        <v>-24494.743575204811</v>
      </c>
      <c r="O28" s="202">
        <v>0</v>
      </c>
      <c r="P28" s="202">
        <v>0</v>
      </c>
      <c r="Q28" s="202">
        <v>0</v>
      </c>
      <c r="R28" s="203">
        <f t="shared" si="9"/>
        <v>-24494.743575204811</v>
      </c>
    </row>
    <row r="29" spans="1:18" x14ac:dyDescent="0.2">
      <c r="A29" s="124">
        <v>10</v>
      </c>
      <c r="B29" s="195">
        <f t="shared" si="4"/>
        <v>44835</v>
      </c>
      <c r="C29" s="238">
        <v>44868</v>
      </c>
      <c r="D29" s="238">
        <v>44888</v>
      </c>
      <c r="E29" s="54" t="s">
        <v>21</v>
      </c>
      <c r="F29" s="160">
        <v>9</v>
      </c>
      <c r="G29" s="197">
        <v>2760</v>
      </c>
      <c r="H29" s="198">
        <f t="shared" si="5"/>
        <v>13.235929037012342</v>
      </c>
      <c r="I29" s="198">
        <f t="shared" si="1"/>
        <v>7.277381992063475</v>
      </c>
      <c r="J29" s="199">
        <f t="shared" si="2"/>
        <v>20085.574298095191</v>
      </c>
      <c r="K29" s="206">
        <f t="shared" si="6"/>
        <v>36531.164142154063</v>
      </c>
      <c r="L29" s="205">
        <f t="shared" si="3"/>
        <v>-16445.589844058872</v>
      </c>
      <c r="M29" s="202">
        <f t="shared" si="7"/>
        <v>-898.04593520364097</v>
      </c>
      <c r="N29" s="203">
        <f t="shared" si="8"/>
        <v>-17343.635779262513</v>
      </c>
      <c r="O29" s="202">
        <v>0</v>
      </c>
      <c r="P29" s="202">
        <v>0</v>
      </c>
      <c r="Q29" s="202">
        <v>0</v>
      </c>
      <c r="R29" s="203">
        <f t="shared" si="9"/>
        <v>-17343.635779262513</v>
      </c>
    </row>
    <row r="30" spans="1:18" x14ac:dyDescent="0.2">
      <c r="A30" s="160">
        <v>11</v>
      </c>
      <c r="B30" s="195">
        <f t="shared" si="4"/>
        <v>44866</v>
      </c>
      <c r="C30" s="238">
        <v>44900</v>
      </c>
      <c r="D30" s="238">
        <v>44918</v>
      </c>
      <c r="E30" s="54" t="s">
        <v>21</v>
      </c>
      <c r="F30" s="160">
        <v>9</v>
      </c>
      <c r="G30" s="197">
        <v>2561</v>
      </c>
      <c r="H30" s="198">
        <f t="shared" si="5"/>
        <v>13.235929037012342</v>
      </c>
      <c r="I30" s="198">
        <f t="shared" si="1"/>
        <v>7.277381992063475</v>
      </c>
      <c r="J30" s="199">
        <f t="shared" si="2"/>
        <v>18637.375281674558</v>
      </c>
      <c r="K30" s="206">
        <f t="shared" si="6"/>
        <v>33897.214263788606</v>
      </c>
      <c r="L30" s="205">
        <f t="shared" si="3"/>
        <v>-15259.838982114048</v>
      </c>
      <c r="M30" s="202">
        <f t="shared" si="7"/>
        <v>-833.29552175961032</v>
      </c>
      <c r="N30" s="203">
        <f t="shared" si="8"/>
        <v>-16093.134503873658</v>
      </c>
      <c r="O30" s="202">
        <v>0</v>
      </c>
      <c r="P30" s="202">
        <v>0</v>
      </c>
      <c r="Q30" s="202">
        <v>0</v>
      </c>
      <c r="R30" s="203">
        <f t="shared" si="9"/>
        <v>-16093.134503873658</v>
      </c>
    </row>
    <row r="31" spans="1:18" x14ac:dyDescent="0.2">
      <c r="A31" s="160">
        <v>12</v>
      </c>
      <c r="B31" s="195">
        <f t="shared" si="4"/>
        <v>44896</v>
      </c>
      <c r="C31" s="239">
        <v>44930</v>
      </c>
      <c r="D31" s="240">
        <v>44950</v>
      </c>
      <c r="E31" s="54" t="s">
        <v>21</v>
      </c>
      <c r="F31" s="160">
        <v>9</v>
      </c>
      <c r="G31" s="207">
        <v>3150</v>
      </c>
      <c r="H31" s="208">
        <f t="shared" si="5"/>
        <v>13.235929037012342</v>
      </c>
      <c r="I31" s="208">
        <f t="shared" si="1"/>
        <v>7.277381992063475</v>
      </c>
      <c r="J31" s="209">
        <f t="shared" si="2"/>
        <v>22923.753274999945</v>
      </c>
      <c r="K31" s="210">
        <f t="shared" si="6"/>
        <v>41693.176466588877</v>
      </c>
      <c r="L31" s="211">
        <f t="shared" si="3"/>
        <v>-18769.423191588932</v>
      </c>
      <c r="M31" s="202">
        <f t="shared" si="7"/>
        <v>-1024.9437303954599</v>
      </c>
      <c r="N31" s="203">
        <f t="shared" si="8"/>
        <v>-19794.366921984391</v>
      </c>
      <c r="O31" s="202">
        <v>0</v>
      </c>
      <c r="P31" s="202">
        <v>0</v>
      </c>
      <c r="Q31" s="202">
        <v>0</v>
      </c>
      <c r="R31" s="203">
        <f t="shared" si="9"/>
        <v>-19794.366921984391</v>
      </c>
    </row>
    <row r="32" spans="1:18" x14ac:dyDescent="0.2">
      <c r="A32" s="124">
        <v>1</v>
      </c>
      <c r="B32" s="212">
        <f t="shared" si="4"/>
        <v>44562</v>
      </c>
      <c r="C32" s="213">
        <f t="shared" ref="C32:D43" si="10">+C20</f>
        <v>44595</v>
      </c>
      <c r="D32" s="213">
        <f t="shared" si="10"/>
        <v>44615</v>
      </c>
      <c r="E32" s="214" t="s">
        <v>22</v>
      </c>
      <c r="F32" s="215">
        <v>9</v>
      </c>
      <c r="G32" s="197">
        <v>2921</v>
      </c>
      <c r="H32" s="198">
        <f t="shared" si="5"/>
        <v>13.235929037012342</v>
      </c>
      <c r="I32" s="198">
        <f t="shared" si="1"/>
        <v>7.277381992063475</v>
      </c>
      <c r="J32" s="199">
        <f t="shared" si="2"/>
        <v>21257.232798817411</v>
      </c>
      <c r="K32" s="200">
        <f t="shared" si="6"/>
        <v>38662.14871711305</v>
      </c>
      <c r="L32" s="201">
        <f t="shared" si="3"/>
        <v>-17404.915918295639</v>
      </c>
      <c r="M32" s="202">
        <f t="shared" si="7"/>
        <v>-950.43194809052</v>
      </c>
      <c r="N32" s="203">
        <f t="shared" si="8"/>
        <v>-18355.347866386161</v>
      </c>
      <c r="O32" s="202">
        <v>0</v>
      </c>
      <c r="P32" s="202">
        <v>0</v>
      </c>
      <c r="Q32" s="202">
        <v>0</v>
      </c>
      <c r="R32" s="203">
        <f t="shared" si="9"/>
        <v>-18355.347866386161</v>
      </c>
    </row>
    <row r="33" spans="1:18" x14ac:dyDescent="0.2">
      <c r="A33" s="160">
        <v>2</v>
      </c>
      <c r="B33" s="195">
        <f t="shared" si="4"/>
        <v>44593</v>
      </c>
      <c r="C33" s="216">
        <f t="shared" si="10"/>
        <v>44623</v>
      </c>
      <c r="D33" s="216">
        <f t="shared" si="10"/>
        <v>44642</v>
      </c>
      <c r="E33" s="204" t="s">
        <v>22</v>
      </c>
      <c r="F33" s="160">
        <v>9</v>
      </c>
      <c r="G33" s="197">
        <v>2853</v>
      </c>
      <c r="H33" s="198">
        <f t="shared" si="5"/>
        <v>13.235929037012342</v>
      </c>
      <c r="I33" s="198">
        <f t="shared" si="1"/>
        <v>7.277381992063475</v>
      </c>
      <c r="J33" s="199">
        <f t="shared" si="2"/>
        <v>20762.370823357094</v>
      </c>
      <c r="K33" s="200">
        <f t="shared" si="6"/>
        <v>37762.105542596211</v>
      </c>
      <c r="L33" s="201">
        <f t="shared" si="3"/>
        <v>-16999.734719239117</v>
      </c>
      <c r="M33" s="202">
        <f t="shared" si="7"/>
        <v>-928.3061786724594</v>
      </c>
      <c r="N33" s="203">
        <f t="shared" si="8"/>
        <v>-17928.040897911578</v>
      </c>
      <c r="O33" s="202">
        <v>0</v>
      </c>
      <c r="P33" s="202">
        <v>0</v>
      </c>
      <c r="Q33" s="202">
        <v>0</v>
      </c>
      <c r="R33" s="203">
        <f t="shared" si="9"/>
        <v>-17928.040897911578</v>
      </c>
    </row>
    <row r="34" spans="1:18" x14ac:dyDescent="0.2">
      <c r="A34" s="160">
        <v>3</v>
      </c>
      <c r="B34" s="195">
        <f t="shared" si="4"/>
        <v>44621</v>
      </c>
      <c r="C34" s="216">
        <f t="shared" si="10"/>
        <v>44656</v>
      </c>
      <c r="D34" s="216">
        <f t="shared" si="10"/>
        <v>44676</v>
      </c>
      <c r="E34" s="204" t="s">
        <v>22</v>
      </c>
      <c r="F34" s="160">
        <v>9</v>
      </c>
      <c r="G34" s="197">
        <v>2560</v>
      </c>
      <c r="H34" s="198">
        <f t="shared" si="5"/>
        <v>13.235929037012342</v>
      </c>
      <c r="I34" s="198">
        <f t="shared" si="1"/>
        <v>7.277381992063475</v>
      </c>
      <c r="J34" s="199">
        <f t="shared" si="2"/>
        <v>18630.097899682496</v>
      </c>
      <c r="K34" s="200">
        <f t="shared" ref="K34:K93" si="11">+$G34*H34</f>
        <v>33883.978334751599</v>
      </c>
      <c r="L34" s="201">
        <f t="shared" si="3"/>
        <v>-15253.880435069103</v>
      </c>
      <c r="M34" s="202">
        <f t="shared" si="7"/>
        <v>-832.97014279758002</v>
      </c>
      <c r="N34" s="203">
        <f t="shared" si="8"/>
        <v>-16086.850577866682</v>
      </c>
      <c r="O34" s="202">
        <v>0</v>
      </c>
      <c r="P34" s="202">
        <v>0</v>
      </c>
      <c r="Q34" s="202">
        <v>0</v>
      </c>
      <c r="R34" s="203">
        <f t="shared" si="9"/>
        <v>-16086.850577866682</v>
      </c>
    </row>
    <row r="35" spans="1:18" x14ac:dyDescent="0.2">
      <c r="A35" s="124">
        <v>4</v>
      </c>
      <c r="B35" s="195">
        <f t="shared" si="4"/>
        <v>44652</v>
      </c>
      <c r="C35" s="216">
        <f t="shared" si="10"/>
        <v>44685</v>
      </c>
      <c r="D35" s="216">
        <f t="shared" si="10"/>
        <v>44705</v>
      </c>
      <c r="E35" s="204" t="s">
        <v>22</v>
      </c>
      <c r="F35" s="160">
        <v>9</v>
      </c>
      <c r="G35" s="197">
        <v>2434</v>
      </c>
      <c r="H35" s="198">
        <f t="shared" si="5"/>
        <v>13.235929037012342</v>
      </c>
      <c r="I35" s="198">
        <f t="shared" si="1"/>
        <v>7.277381992063475</v>
      </c>
      <c r="J35" s="199">
        <f t="shared" si="2"/>
        <v>17713.147768682498</v>
      </c>
      <c r="K35" s="200">
        <f t="shared" si="11"/>
        <v>32216.251276088042</v>
      </c>
      <c r="L35" s="201">
        <f t="shared" ref="L35:L57" si="12">+J35-K35</f>
        <v>-14503.103507405543</v>
      </c>
      <c r="M35" s="202">
        <f t="shared" si="7"/>
        <v>-791.97239358176159</v>
      </c>
      <c r="N35" s="203">
        <f t="shared" si="8"/>
        <v>-15295.075900987305</v>
      </c>
      <c r="O35" s="202">
        <v>0</v>
      </c>
      <c r="P35" s="202">
        <v>0</v>
      </c>
      <c r="Q35" s="202">
        <v>0</v>
      </c>
      <c r="R35" s="203">
        <f t="shared" si="9"/>
        <v>-15295.075900987305</v>
      </c>
    </row>
    <row r="36" spans="1:18" x14ac:dyDescent="0.2">
      <c r="A36" s="160">
        <v>5</v>
      </c>
      <c r="B36" s="195">
        <f t="shared" si="4"/>
        <v>44682</v>
      </c>
      <c r="C36" s="216">
        <f t="shared" si="10"/>
        <v>44715</v>
      </c>
      <c r="D36" s="216">
        <f t="shared" si="10"/>
        <v>44735</v>
      </c>
      <c r="E36" s="54" t="s">
        <v>22</v>
      </c>
      <c r="F36" s="160">
        <v>9</v>
      </c>
      <c r="G36" s="197">
        <v>3117</v>
      </c>
      <c r="H36" s="198">
        <f t="shared" si="5"/>
        <v>13.235929037012342</v>
      </c>
      <c r="I36" s="198">
        <f t="shared" si="1"/>
        <v>7.277381992063475</v>
      </c>
      <c r="J36" s="199">
        <f t="shared" si="2"/>
        <v>22683.59966926185</v>
      </c>
      <c r="K36" s="200">
        <f t="shared" si="11"/>
        <v>41256.390808367469</v>
      </c>
      <c r="L36" s="201">
        <f t="shared" si="12"/>
        <v>-18572.791139105619</v>
      </c>
      <c r="M36" s="202">
        <f t="shared" si="7"/>
        <v>-1014.2062246484597</v>
      </c>
      <c r="N36" s="203">
        <f t="shared" si="8"/>
        <v>-19586.997363754079</v>
      </c>
      <c r="O36" s="202">
        <v>0</v>
      </c>
      <c r="P36" s="202">
        <v>0</v>
      </c>
      <c r="Q36" s="202">
        <v>0</v>
      </c>
      <c r="R36" s="203">
        <f t="shared" si="9"/>
        <v>-19586.997363754079</v>
      </c>
    </row>
    <row r="37" spans="1:18" x14ac:dyDescent="0.2">
      <c r="A37" s="160">
        <v>6</v>
      </c>
      <c r="B37" s="195">
        <f t="shared" si="4"/>
        <v>44713</v>
      </c>
      <c r="C37" s="216">
        <f t="shared" si="10"/>
        <v>44747</v>
      </c>
      <c r="D37" s="216">
        <f t="shared" si="10"/>
        <v>44767</v>
      </c>
      <c r="E37" s="54" t="s">
        <v>22</v>
      </c>
      <c r="F37" s="160">
        <v>9</v>
      </c>
      <c r="G37" s="197">
        <v>3536</v>
      </c>
      <c r="H37" s="198">
        <f t="shared" si="5"/>
        <v>13.235929037012342</v>
      </c>
      <c r="I37" s="198">
        <f t="shared" si="1"/>
        <v>7.277381992063475</v>
      </c>
      <c r="J37" s="199">
        <f t="shared" si="2"/>
        <v>25732.822723936446</v>
      </c>
      <c r="K37" s="200">
        <f t="shared" si="11"/>
        <v>46802.245074875638</v>
      </c>
      <c r="L37" s="205">
        <f t="shared" si="12"/>
        <v>-21069.422350939192</v>
      </c>
      <c r="M37" s="202">
        <f t="shared" si="7"/>
        <v>-1150.5400097391575</v>
      </c>
      <c r="N37" s="203">
        <f t="shared" si="8"/>
        <v>-22219.96236067835</v>
      </c>
      <c r="O37" s="202">
        <v>0</v>
      </c>
      <c r="P37" s="202">
        <v>0</v>
      </c>
      <c r="Q37" s="202">
        <v>0</v>
      </c>
      <c r="R37" s="203">
        <f t="shared" si="9"/>
        <v>-22219.96236067835</v>
      </c>
    </row>
    <row r="38" spans="1:18" x14ac:dyDescent="0.2">
      <c r="A38" s="124">
        <v>7</v>
      </c>
      <c r="B38" s="195">
        <f t="shared" si="4"/>
        <v>44743</v>
      </c>
      <c r="C38" s="216">
        <f t="shared" si="10"/>
        <v>44776</v>
      </c>
      <c r="D38" s="216">
        <f t="shared" si="10"/>
        <v>44796</v>
      </c>
      <c r="E38" s="54" t="s">
        <v>22</v>
      </c>
      <c r="F38" s="160">
        <v>9</v>
      </c>
      <c r="G38" s="197">
        <v>3696</v>
      </c>
      <c r="H38" s="198">
        <f t="shared" si="5"/>
        <v>13.235929037012342</v>
      </c>
      <c r="I38" s="198">
        <f t="shared" si="1"/>
        <v>7.277381992063475</v>
      </c>
      <c r="J38" s="199">
        <f t="shared" si="2"/>
        <v>26897.203842666604</v>
      </c>
      <c r="K38" s="206">
        <f t="shared" si="11"/>
        <v>48919.993720797618</v>
      </c>
      <c r="L38" s="205">
        <f t="shared" si="12"/>
        <v>-22022.789878131014</v>
      </c>
      <c r="M38" s="202">
        <f t="shared" si="7"/>
        <v>-1202.6006436640062</v>
      </c>
      <c r="N38" s="203">
        <f t="shared" si="8"/>
        <v>-23225.39052179502</v>
      </c>
      <c r="O38" s="202">
        <v>0</v>
      </c>
      <c r="P38" s="202">
        <v>0</v>
      </c>
      <c r="Q38" s="202">
        <v>0</v>
      </c>
      <c r="R38" s="203">
        <f t="shared" si="9"/>
        <v>-23225.39052179502</v>
      </c>
    </row>
    <row r="39" spans="1:18" x14ac:dyDescent="0.2">
      <c r="A39" s="160">
        <v>8</v>
      </c>
      <c r="B39" s="195">
        <f t="shared" si="4"/>
        <v>44774</v>
      </c>
      <c r="C39" s="216">
        <f t="shared" si="10"/>
        <v>44809</v>
      </c>
      <c r="D39" s="216">
        <f t="shared" si="10"/>
        <v>44827</v>
      </c>
      <c r="E39" s="54" t="s">
        <v>22</v>
      </c>
      <c r="F39" s="160">
        <v>9</v>
      </c>
      <c r="G39" s="197">
        <v>3632</v>
      </c>
      <c r="H39" s="198">
        <f t="shared" si="5"/>
        <v>13.235929037012342</v>
      </c>
      <c r="I39" s="198">
        <f t="shared" si="1"/>
        <v>7.277381992063475</v>
      </c>
      <c r="J39" s="199">
        <f t="shared" si="2"/>
        <v>26431.451395174543</v>
      </c>
      <c r="K39" s="206">
        <f t="shared" si="11"/>
        <v>48072.894262428825</v>
      </c>
      <c r="L39" s="205">
        <f t="shared" si="12"/>
        <v>-21641.442867254282</v>
      </c>
      <c r="M39" s="202">
        <f t="shared" si="7"/>
        <v>-1181.7763900940668</v>
      </c>
      <c r="N39" s="203">
        <f t="shared" si="8"/>
        <v>-22823.219257348348</v>
      </c>
      <c r="O39" s="202">
        <v>0</v>
      </c>
      <c r="P39" s="202">
        <v>0</v>
      </c>
      <c r="Q39" s="202">
        <v>0</v>
      </c>
      <c r="R39" s="203">
        <f t="shared" si="9"/>
        <v>-22823.219257348348</v>
      </c>
    </row>
    <row r="40" spans="1:18" x14ac:dyDescent="0.2">
      <c r="A40" s="160">
        <v>9</v>
      </c>
      <c r="B40" s="195">
        <f t="shared" si="4"/>
        <v>44805</v>
      </c>
      <c r="C40" s="216">
        <f t="shared" si="10"/>
        <v>44839</v>
      </c>
      <c r="D40" s="216">
        <f t="shared" si="10"/>
        <v>44859</v>
      </c>
      <c r="E40" s="54" t="s">
        <v>22</v>
      </c>
      <c r="F40" s="160">
        <v>9</v>
      </c>
      <c r="G40" s="197">
        <v>3337</v>
      </c>
      <c r="H40" s="198">
        <f t="shared" si="5"/>
        <v>13.235929037012342</v>
      </c>
      <c r="I40" s="198">
        <f t="shared" si="1"/>
        <v>7.277381992063475</v>
      </c>
      <c r="J40" s="199">
        <f t="shared" si="2"/>
        <v>24284.623707515817</v>
      </c>
      <c r="K40" s="206">
        <f t="shared" si="11"/>
        <v>44168.295196510189</v>
      </c>
      <c r="L40" s="205">
        <f t="shared" si="12"/>
        <v>-19883.671488994372</v>
      </c>
      <c r="M40" s="202">
        <f t="shared" si="7"/>
        <v>-1085.7895962951268</v>
      </c>
      <c r="N40" s="203">
        <f t="shared" si="8"/>
        <v>-20969.461085289498</v>
      </c>
      <c r="O40" s="202">
        <v>0</v>
      </c>
      <c r="P40" s="202">
        <v>0</v>
      </c>
      <c r="Q40" s="202">
        <v>0</v>
      </c>
      <c r="R40" s="203">
        <f t="shared" si="9"/>
        <v>-20969.461085289498</v>
      </c>
    </row>
    <row r="41" spans="1:18" x14ac:dyDescent="0.2">
      <c r="A41" s="124">
        <v>10</v>
      </c>
      <c r="B41" s="195">
        <f t="shared" si="4"/>
        <v>44835</v>
      </c>
      <c r="C41" s="216">
        <f t="shared" si="10"/>
        <v>44868</v>
      </c>
      <c r="D41" s="216">
        <f t="shared" si="10"/>
        <v>44888</v>
      </c>
      <c r="E41" s="54" t="s">
        <v>22</v>
      </c>
      <c r="F41" s="160">
        <v>9</v>
      </c>
      <c r="G41" s="197">
        <v>2496</v>
      </c>
      <c r="H41" s="198">
        <f t="shared" si="5"/>
        <v>13.235929037012342</v>
      </c>
      <c r="I41" s="198">
        <f t="shared" si="1"/>
        <v>7.277381992063475</v>
      </c>
      <c r="J41" s="199">
        <f t="shared" si="2"/>
        <v>18164.345452190435</v>
      </c>
      <c r="K41" s="206">
        <f t="shared" si="11"/>
        <v>33036.878876382805</v>
      </c>
      <c r="L41" s="205">
        <f t="shared" si="12"/>
        <v>-14872.53342419237</v>
      </c>
      <c r="M41" s="202">
        <f t="shared" si="7"/>
        <v>-812.14588922764051</v>
      </c>
      <c r="N41" s="203">
        <f t="shared" si="8"/>
        <v>-15684.679313420011</v>
      </c>
      <c r="O41" s="202">
        <v>0</v>
      </c>
      <c r="P41" s="202">
        <v>0</v>
      </c>
      <c r="Q41" s="202">
        <v>0</v>
      </c>
      <c r="R41" s="203">
        <f t="shared" si="9"/>
        <v>-15684.679313420011</v>
      </c>
    </row>
    <row r="42" spans="1:18" x14ac:dyDescent="0.2">
      <c r="A42" s="160">
        <v>11</v>
      </c>
      <c r="B42" s="195">
        <f t="shared" si="4"/>
        <v>44866</v>
      </c>
      <c r="C42" s="216">
        <f t="shared" si="10"/>
        <v>44900</v>
      </c>
      <c r="D42" s="216">
        <f t="shared" si="10"/>
        <v>44918</v>
      </c>
      <c r="E42" s="54" t="s">
        <v>22</v>
      </c>
      <c r="F42" s="160">
        <v>9</v>
      </c>
      <c r="G42" s="197">
        <v>2518</v>
      </c>
      <c r="H42" s="198">
        <f t="shared" si="5"/>
        <v>13.235929037012342</v>
      </c>
      <c r="I42" s="198">
        <f t="shared" si="1"/>
        <v>7.277381992063475</v>
      </c>
      <c r="J42" s="199">
        <f t="shared" si="2"/>
        <v>18324.447856015831</v>
      </c>
      <c r="K42" s="206">
        <f t="shared" si="11"/>
        <v>33328.069315197077</v>
      </c>
      <c r="L42" s="205">
        <f t="shared" si="12"/>
        <v>-15003.621459181246</v>
      </c>
      <c r="M42" s="202">
        <f t="shared" si="7"/>
        <v>-819.30422639230721</v>
      </c>
      <c r="N42" s="203">
        <f t="shared" si="8"/>
        <v>-15822.925685573553</v>
      </c>
      <c r="O42" s="202">
        <v>0</v>
      </c>
      <c r="P42" s="202">
        <v>0</v>
      </c>
      <c r="Q42" s="202">
        <v>0</v>
      </c>
      <c r="R42" s="203">
        <f t="shared" si="9"/>
        <v>-15822.925685573553</v>
      </c>
    </row>
    <row r="43" spans="1:18" x14ac:dyDescent="0.2">
      <c r="A43" s="160">
        <v>12</v>
      </c>
      <c r="B43" s="195">
        <f t="shared" si="4"/>
        <v>44896</v>
      </c>
      <c r="C43" s="216">
        <f t="shared" si="10"/>
        <v>44930</v>
      </c>
      <c r="D43" s="216">
        <f t="shared" si="10"/>
        <v>44950</v>
      </c>
      <c r="E43" s="54" t="s">
        <v>22</v>
      </c>
      <c r="F43" s="160">
        <v>9</v>
      </c>
      <c r="G43" s="207">
        <v>3399</v>
      </c>
      <c r="H43" s="208">
        <f t="shared" si="5"/>
        <v>13.235929037012342</v>
      </c>
      <c r="I43" s="208">
        <f t="shared" si="1"/>
        <v>7.277381992063475</v>
      </c>
      <c r="J43" s="209">
        <f t="shared" si="2"/>
        <v>24735.82139102375</v>
      </c>
      <c r="K43" s="210">
        <f t="shared" si="11"/>
        <v>44988.922796804953</v>
      </c>
      <c r="L43" s="211">
        <f t="shared" si="12"/>
        <v>-20253.101405781203</v>
      </c>
      <c r="M43" s="202">
        <f t="shared" si="7"/>
        <v>-1105.9630919410056</v>
      </c>
      <c r="N43" s="203">
        <f t="shared" si="8"/>
        <v>-21359.064497722207</v>
      </c>
      <c r="O43" s="202">
        <v>0</v>
      </c>
      <c r="P43" s="202">
        <v>0</v>
      </c>
      <c r="Q43" s="202">
        <v>0</v>
      </c>
      <c r="R43" s="203">
        <f t="shared" si="9"/>
        <v>-21359.064497722207</v>
      </c>
    </row>
    <row r="44" spans="1:18" x14ac:dyDescent="0.2">
      <c r="A44" s="124">
        <v>1</v>
      </c>
      <c r="B44" s="212">
        <f t="shared" ref="B44:B55" si="13">DATE($R$1,A44,1)</f>
        <v>44562</v>
      </c>
      <c r="C44" s="213">
        <f t="shared" ref="C44:D55" si="14">+C32</f>
        <v>44595</v>
      </c>
      <c r="D44" s="213">
        <f t="shared" si="14"/>
        <v>44615</v>
      </c>
      <c r="E44" s="214" t="s">
        <v>81</v>
      </c>
      <c r="F44" s="215">
        <v>9</v>
      </c>
      <c r="G44" s="197">
        <v>163</v>
      </c>
      <c r="H44" s="198">
        <f t="shared" si="5"/>
        <v>13.235929037012342</v>
      </c>
      <c r="I44" s="198">
        <f t="shared" si="1"/>
        <v>7.277381992063475</v>
      </c>
      <c r="J44" s="202">
        <f t="shared" ref="J44:J55" si="15">+$G44*I44</f>
        <v>1186.2132647063465</v>
      </c>
      <c r="K44" s="206">
        <f t="shared" ref="K44:K55" si="16">+$G44*H44</f>
        <v>2157.4564330330118</v>
      </c>
      <c r="L44" s="205">
        <f t="shared" ref="L44:L55" si="17">+J44-K44</f>
        <v>-971.24316832666523</v>
      </c>
      <c r="M44" s="202">
        <f t="shared" si="7"/>
        <v>-53.036770810939664</v>
      </c>
      <c r="N44" s="203">
        <f t="shared" si="8"/>
        <v>-1024.279939137605</v>
      </c>
      <c r="O44" s="202">
        <v>0</v>
      </c>
      <c r="P44" s="202">
        <v>0</v>
      </c>
      <c r="Q44" s="202">
        <v>0</v>
      </c>
      <c r="R44" s="203">
        <f t="shared" si="9"/>
        <v>-1024.279939137605</v>
      </c>
    </row>
    <row r="45" spans="1:18" x14ac:dyDescent="0.2">
      <c r="A45" s="160">
        <v>2</v>
      </c>
      <c r="B45" s="195">
        <f t="shared" si="13"/>
        <v>44593</v>
      </c>
      <c r="C45" s="216">
        <f t="shared" si="14"/>
        <v>44623</v>
      </c>
      <c r="D45" s="216">
        <f t="shared" si="14"/>
        <v>44642</v>
      </c>
      <c r="E45" s="204" t="s">
        <v>81</v>
      </c>
      <c r="F45" s="160">
        <v>9</v>
      </c>
      <c r="G45" s="197">
        <v>155</v>
      </c>
      <c r="H45" s="198">
        <f t="shared" si="5"/>
        <v>13.235929037012342</v>
      </c>
      <c r="I45" s="198">
        <f t="shared" si="1"/>
        <v>7.277381992063475</v>
      </c>
      <c r="J45" s="202">
        <f t="shared" si="15"/>
        <v>1127.9942087698387</v>
      </c>
      <c r="K45" s="206">
        <f t="shared" si="16"/>
        <v>2051.569000736913</v>
      </c>
      <c r="L45" s="205">
        <f t="shared" si="17"/>
        <v>-923.57479196707436</v>
      </c>
      <c r="M45" s="202">
        <f t="shared" si="7"/>
        <v>-50.433739114697225</v>
      </c>
      <c r="N45" s="203">
        <f t="shared" si="8"/>
        <v>-974.00853108177159</v>
      </c>
      <c r="O45" s="202">
        <v>0</v>
      </c>
      <c r="P45" s="202">
        <v>0</v>
      </c>
      <c r="Q45" s="202">
        <v>0</v>
      </c>
      <c r="R45" s="203">
        <f t="shared" si="9"/>
        <v>-974.00853108177159</v>
      </c>
    </row>
    <row r="46" spans="1:18" x14ac:dyDescent="0.2">
      <c r="A46" s="160">
        <v>3</v>
      </c>
      <c r="B46" s="195">
        <f t="shared" si="13"/>
        <v>44621</v>
      </c>
      <c r="C46" s="216">
        <f t="shared" si="14"/>
        <v>44656</v>
      </c>
      <c r="D46" s="216">
        <f t="shared" si="14"/>
        <v>44676</v>
      </c>
      <c r="E46" s="204" t="s">
        <v>81</v>
      </c>
      <c r="F46" s="160">
        <v>9</v>
      </c>
      <c r="G46" s="197">
        <v>141</v>
      </c>
      <c r="H46" s="198">
        <f t="shared" si="5"/>
        <v>13.235929037012342</v>
      </c>
      <c r="I46" s="198">
        <f t="shared" si="1"/>
        <v>7.277381992063475</v>
      </c>
      <c r="J46" s="202">
        <f t="shared" si="15"/>
        <v>1026.11086088095</v>
      </c>
      <c r="K46" s="206">
        <f t="shared" si="16"/>
        <v>1866.2659942187402</v>
      </c>
      <c r="L46" s="205">
        <f t="shared" si="17"/>
        <v>-840.15513333779018</v>
      </c>
      <c r="M46" s="202">
        <f t="shared" si="7"/>
        <v>-45.878433646272967</v>
      </c>
      <c r="N46" s="203">
        <f t="shared" si="8"/>
        <v>-886.0335669840631</v>
      </c>
      <c r="O46" s="202">
        <v>0</v>
      </c>
      <c r="P46" s="202">
        <v>0</v>
      </c>
      <c r="Q46" s="202">
        <v>0</v>
      </c>
      <c r="R46" s="203">
        <f t="shared" si="9"/>
        <v>-886.0335669840631</v>
      </c>
    </row>
    <row r="47" spans="1:18" x14ac:dyDescent="0.2">
      <c r="A47" s="124">
        <v>4</v>
      </c>
      <c r="B47" s="195">
        <f t="shared" si="13"/>
        <v>44652</v>
      </c>
      <c r="C47" s="216">
        <f t="shared" si="14"/>
        <v>44685</v>
      </c>
      <c r="D47" s="216">
        <f t="shared" si="14"/>
        <v>44705</v>
      </c>
      <c r="E47" s="204" t="s">
        <v>81</v>
      </c>
      <c r="F47" s="160">
        <v>9</v>
      </c>
      <c r="G47" s="197">
        <v>92</v>
      </c>
      <c r="H47" s="198">
        <f t="shared" si="5"/>
        <v>13.235929037012342</v>
      </c>
      <c r="I47" s="198">
        <f t="shared" si="1"/>
        <v>7.277381992063475</v>
      </c>
      <c r="J47" s="202">
        <f t="shared" si="15"/>
        <v>669.51914326983967</v>
      </c>
      <c r="K47" s="206">
        <f t="shared" si="16"/>
        <v>1217.7054714051355</v>
      </c>
      <c r="L47" s="205">
        <f t="shared" si="17"/>
        <v>-548.18632813529587</v>
      </c>
      <c r="M47" s="202">
        <f t="shared" si="7"/>
        <v>-29.934864506788031</v>
      </c>
      <c r="N47" s="203">
        <f t="shared" si="8"/>
        <v>-578.12119264208388</v>
      </c>
      <c r="O47" s="202">
        <v>0</v>
      </c>
      <c r="P47" s="202">
        <v>0</v>
      </c>
      <c r="Q47" s="202">
        <v>0</v>
      </c>
      <c r="R47" s="203">
        <f t="shared" si="9"/>
        <v>-578.12119264208388</v>
      </c>
    </row>
    <row r="48" spans="1:18" x14ac:dyDescent="0.2">
      <c r="A48" s="160">
        <v>5</v>
      </c>
      <c r="B48" s="195">
        <f t="shared" si="13"/>
        <v>44682</v>
      </c>
      <c r="C48" s="216">
        <f t="shared" si="14"/>
        <v>44715</v>
      </c>
      <c r="D48" s="216">
        <f t="shared" si="14"/>
        <v>44735</v>
      </c>
      <c r="E48" s="204" t="s">
        <v>81</v>
      </c>
      <c r="F48" s="160">
        <v>9</v>
      </c>
      <c r="G48" s="197">
        <v>131</v>
      </c>
      <c r="H48" s="198">
        <f t="shared" si="5"/>
        <v>13.235929037012342</v>
      </c>
      <c r="I48" s="198">
        <f t="shared" si="1"/>
        <v>7.277381992063475</v>
      </c>
      <c r="J48" s="202">
        <f t="shared" si="15"/>
        <v>953.33704096031522</v>
      </c>
      <c r="K48" s="206">
        <f t="shared" si="16"/>
        <v>1733.9067038486169</v>
      </c>
      <c r="L48" s="205">
        <f t="shared" si="17"/>
        <v>-780.56966288830165</v>
      </c>
      <c r="M48" s="202">
        <f t="shared" si="7"/>
        <v>-42.624644025969914</v>
      </c>
      <c r="N48" s="203">
        <f t="shared" si="8"/>
        <v>-823.19430691427158</v>
      </c>
      <c r="O48" s="202">
        <v>0</v>
      </c>
      <c r="P48" s="202">
        <v>0</v>
      </c>
      <c r="Q48" s="202">
        <v>0</v>
      </c>
      <c r="R48" s="203">
        <f t="shared" si="9"/>
        <v>-823.19430691427158</v>
      </c>
    </row>
    <row r="49" spans="1:18" x14ac:dyDescent="0.2">
      <c r="A49" s="160">
        <v>6</v>
      </c>
      <c r="B49" s="195">
        <f t="shared" si="13"/>
        <v>44713</v>
      </c>
      <c r="C49" s="216">
        <f t="shared" si="14"/>
        <v>44747</v>
      </c>
      <c r="D49" s="216">
        <f t="shared" si="14"/>
        <v>44767</v>
      </c>
      <c r="E49" s="204" t="s">
        <v>81</v>
      </c>
      <c r="F49" s="160">
        <v>9</v>
      </c>
      <c r="G49" s="197">
        <v>152</v>
      </c>
      <c r="H49" s="198">
        <f t="shared" si="5"/>
        <v>13.235929037012342</v>
      </c>
      <c r="I49" s="198">
        <f t="shared" si="1"/>
        <v>7.277381992063475</v>
      </c>
      <c r="J49" s="202">
        <f t="shared" si="15"/>
        <v>1106.1620627936481</v>
      </c>
      <c r="K49" s="206">
        <f t="shared" si="16"/>
        <v>2011.861213625876</v>
      </c>
      <c r="L49" s="205">
        <f t="shared" si="17"/>
        <v>-905.69915083222782</v>
      </c>
      <c r="M49" s="202">
        <f t="shared" si="7"/>
        <v>-49.457602228606312</v>
      </c>
      <c r="N49" s="203">
        <f t="shared" si="8"/>
        <v>-955.15675306083415</v>
      </c>
      <c r="O49" s="202">
        <v>0</v>
      </c>
      <c r="P49" s="202">
        <v>0</v>
      </c>
      <c r="Q49" s="202">
        <v>0</v>
      </c>
      <c r="R49" s="203">
        <f t="shared" si="9"/>
        <v>-955.15675306083415</v>
      </c>
    </row>
    <row r="50" spans="1:18" x14ac:dyDescent="0.2">
      <c r="A50" s="124">
        <v>7</v>
      </c>
      <c r="B50" s="195">
        <f t="shared" si="13"/>
        <v>44743</v>
      </c>
      <c r="C50" s="216">
        <f t="shared" si="14"/>
        <v>44776</v>
      </c>
      <c r="D50" s="216">
        <f t="shared" si="14"/>
        <v>44796</v>
      </c>
      <c r="E50" s="204" t="s">
        <v>81</v>
      </c>
      <c r="F50" s="160">
        <v>9</v>
      </c>
      <c r="G50" s="197">
        <v>149</v>
      </c>
      <c r="H50" s="198">
        <f t="shared" si="5"/>
        <v>13.235929037012342</v>
      </c>
      <c r="I50" s="198">
        <f t="shared" si="1"/>
        <v>7.277381992063475</v>
      </c>
      <c r="J50" s="202">
        <f t="shared" si="15"/>
        <v>1084.3299168174578</v>
      </c>
      <c r="K50" s="206">
        <f t="shared" si="16"/>
        <v>1972.1534265148389</v>
      </c>
      <c r="L50" s="205">
        <f t="shared" si="17"/>
        <v>-887.82350969738104</v>
      </c>
      <c r="M50" s="202">
        <f t="shared" si="7"/>
        <v>-48.481465342515399</v>
      </c>
      <c r="N50" s="203">
        <f t="shared" si="8"/>
        <v>-936.30497503989648</v>
      </c>
      <c r="O50" s="202">
        <v>0</v>
      </c>
      <c r="P50" s="202">
        <v>0</v>
      </c>
      <c r="Q50" s="202">
        <v>0</v>
      </c>
      <c r="R50" s="203">
        <f t="shared" si="9"/>
        <v>-936.30497503989648</v>
      </c>
    </row>
    <row r="51" spans="1:18" x14ac:dyDescent="0.2">
      <c r="A51" s="160">
        <v>8</v>
      </c>
      <c r="B51" s="195">
        <f t="shared" si="13"/>
        <v>44774</v>
      </c>
      <c r="C51" s="216">
        <f t="shared" si="14"/>
        <v>44809</v>
      </c>
      <c r="D51" s="216">
        <f t="shared" si="14"/>
        <v>44827</v>
      </c>
      <c r="E51" s="204" t="s">
        <v>81</v>
      </c>
      <c r="F51" s="160">
        <v>9</v>
      </c>
      <c r="G51" s="197">
        <v>137</v>
      </c>
      <c r="H51" s="198">
        <f t="shared" si="5"/>
        <v>13.235929037012342</v>
      </c>
      <c r="I51" s="198">
        <f t="shared" si="1"/>
        <v>7.277381992063475</v>
      </c>
      <c r="J51" s="202">
        <f t="shared" si="15"/>
        <v>997.00133291269606</v>
      </c>
      <c r="K51" s="206">
        <f t="shared" si="16"/>
        <v>1813.3222780706908</v>
      </c>
      <c r="L51" s="205">
        <f t="shared" si="17"/>
        <v>-816.32094515799474</v>
      </c>
      <c r="M51" s="202">
        <f t="shared" si="7"/>
        <v>-44.57691779815174</v>
      </c>
      <c r="N51" s="203">
        <f t="shared" si="8"/>
        <v>-860.89786295614647</v>
      </c>
      <c r="O51" s="202">
        <v>0</v>
      </c>
      <c r="P51" s="202">
        <v>0</v>
      </c>
      <c r="Q51" s="202">
        <v>0</v>
      </c>
      <c r="R51" s="203">
        <f t="shared" si="9"/>
        <v>-860.89786295614647</v>
      </c>
    </row>
    <row r="52" spans="1:18" x14ac:dyDescent="0.2">
      <c r="A52" s="160">
        <v>9</v>
      </c>
      <c r="B52" s="195">
        <f t="shared" si="13"/>
        <v>44805</v>
      </c>
      <c r="C52" s="216">
        <f t="shared" si="14"/>
        <v>44839</v>
      </c>
      <c r="D52" s="216">
        <f t="shared" si="14"/>
        <v>44859</v>
      </c>
      <c r="E52" s="204" t="s">
        <v>81</v>
      </c>
      <c r="F52" s="160">
        <v>9</v>
      </c>
      <c r="G52" s="197">
        <v>136</v>
      </c>
      <c r="H52" s="198">
        <f t="shared" si="5"/>
        <v>13.235929037012342</v>
      </c>
      <c r="I52" s="198">
        <f t="shared" si="1"/>
        <v>7.277381992063475</v>
      </c>
      <c r="J52" s="202">
        <f t="shared" si="15"/>
        <v>989.72395092063266</v>
      </c>
      <c r="K52" s="206">
        <f t="shared" si="16"/>
        <v>1800.0863490336785</v>
      </c>
      <c r="L52" s="205">
        <f t="shared" si="17"/>
        <v>-810.36239811304586</v>
      </c>
      <c r="M52" s="202">
        <f t="shared" si="7"/>
        <v>-44.251538836121441</v>
      </c>
      <c r="N52" s="203">
        <f t="shared" si="8"/>
        <v>-854.61393694916728</v>
      </c>
      <c r="O52" s="202">
        <v>0</v>
      </c>
      <c r="P52" s="202">
        <v>0</v>
      </c>
      <c r="Q52" s="202">
        <v>0</v>
      </c>
      <c r="R52" s="203">
        <f t="shared" si="9"/>
        <v>-854.61393694916728</v>
      </c>
    </row>
    <row r="53" spans="1:18" x14ac:dyDescent="0.2">
      <c r="A53" s="124">
        <v>10</v>
      </c>
      <c r="B53" s="195">
        <f t="shared" si="13"/>
        <v>44835</v>
      </c>
      <c r="C53" s="216">
        <f t="shared" si="14"/>
        <v>44868</v>
      </c>
      <c r="D53" s="216">
        <f t="shared" si="14"/>
        <v>44888</v>
      </c>
      <c r="E53" s="204" t="s">
        <v>81</v>
      </c>
      <c r="F53" s="160">
        <v>9</v>
      </c>
      <c r="G53" s="197">
        <v>91</v>
      </c>
      <c r="H53" s="198">
        <f t="shared" si="5"/>
        <v>13.235929037012342</v>
      </c>
      <c r="I53" s="198">
        <f t="shared" si="1"/>
        <v>7.277381992063475</v>
      </c>
      <c r="J53" s="202">
        <f t="shared" si="15"/>
        <v>662.24176127777628</v>
      </c>
      <c r="K53" s="206">
        <f t="shared" si="16"/>
        <v>1204.469542368123</v>
      </c>
      <c r="L53" s="205">
        <f t="shared" si="17"/>
        <v>-542.22778109034675</v>
      </c>
      <c r="M53" s="202">
        <f t="shared" si="7"/>
        <v>-29.609485544757725</v>
      </c>
      <c r="N53" s="203">
        <f t="shared" si="8"/>
        <v>-571.83726663510447</v>
      </c>
      <c r="O53" s="202">
        <v>0</v>
      </c>
      <c r="P53" s="202">
        <v>0</v>
      </c>
      <c r="Q53" s="202">
        <v>0</v>
      </c>
      <c r="R53" s="203">
        <f t="shared" si="9"/>
        <v>-571.83726663510447</v>
      </c>
    </row>
    <row r="54" spans="1:18" x14ac:dyDescent="0.2">
      <c r="A54" s="160">
        <v>11</v>
      </c>
      <c r="B54" s="195">
        <f t="shared" si="13"/>
        <v>44866</v>
      </c>
      <c r="C54" s="216">
        <f t="shared" si="14"/>
        <v>44900</v>
      </c>
      <c r="D54" s="216">
        <f t="shared" si="14"/>
        <v>44918</v>
      </c>
      <c r="E54" s="204" t="s">
        <v>81</v>
      </c>
      <c r="F54" s="160">
        <v>9</v>
      </c>
      <c r="G54" s="197">
        <v>113</v>
      </c>
      <c r="H54" s="198">
        <f t="shared" si="5"/>
        <v>13.235929037012342</v>
      </c>
      <c r="I54" s="198">
        <f t="shared" si="1"/>
        <v>7.277381992063475</v>
      </c>
      <c r="J54" s="202">
        <f t="shared" si="15"/>
        <v>822.34416510317271</v>
      </c>
      <c r="K54" s="206">
        <f t="shared" si="16"/>
        <v>1495.6599811823946</v>
      </c>
      <c r="L54" s="205">
        <f t="shared" si="17"/>
        <v>-673.31581607922192</v>
      </c>
      <c r="M54" s="202">
        <f t="shared" si="7"/>
        <v>-36.767822709424436</v>
      </c>
      <c r="N54" s="203">
        <f t="shared" si="8"/>
        <v>-710.08363878864634</v>
      </c>
      <c r="O54" s="202">
        <v>0</v>
      </c>
      <c r="P54" s="202">
        <v>0</v>
      </c>
      <c r="Q54" s="202">
        <v>0</v>
      </c>
      <c r="R54" s="203">
        <f t="shared" si="9"/>
        <v>-710.08363878864634</v>
      </c>
    </row>
    <row r="55" spans="1:18" x14ac:dyDescent="0.2">
      <c r="A55" s="160">
        <v>12</v>
      </c>
      <c r="B55" s="195">
        <f t="shared" si="13"/>
        <v>44896</v>
      </c>
      <c r="C55" s="216">
        <f t="shared" si="14"/>
        <v>44930</v>
      </c>
      <c r="D55" s="216">
        <f t="shared" si="14"/>
        <v>44950</v>
      </c>
      <c r="E55" s="204" t="s">
        <v>81</v>
      </c>
      <c r="F55" s="160">
        <v>9</v>
      </c>
      <c r="G55" s="207">
        <v>210</v>
      </c>
      <c r="H55" s="208">
        <f t="shared" si="5"/>
        <v>13.235929037012342</v>
      </c>
      <c r="I55" s="208">
        <f t="shared" si="1"/>
        <v>7.277381992063475</v>
      </c>
      <c r="J55" s="209">
        <f t="shared" si="15"/>
        <v>1528.2502183333297</v>
      </c>
      <c r="K55" s="210">
        <f t="shared" si="16"/>
        <v>2779.5450977725918</v>
      </c>
      <c r="L55" s="211">
        <f t="shared" si="17"/>
        <v>-1251.2948794392621</v>
      </c>
      <c r="M55" s="202">
        <f t="shared" si="7"/>
        <v>-68.329582026363994</v>
      </c>
      <c r="N55" s="203">
        <f t="shared" si="8"/>
        <v>-1319.6244614656262</v>
      </c>
      <c r="O55" s="202">
        <v>0</v>
      </c>
      <c r="P55" s="202">
        <v>0</v>
      </c>
      <c r="Q55" s="202">
        <v>0</v>
      </c>
      <c r="R55" s="203">
        <f t="shared" si="9"/>
        <v>-1319.6244614656262</v>
      </c>
    </row>
    <row r="56" spans="1:18" s="217" customFormat="1" x14ac:dyDescent="0.2">
      <c r="A56" s="124">
        <v>1</v>
      </c>
      <c r="B56" s="212">
        <f t="shared" si="4"/>
        <v>44562</v>
      </c>
      <c r="C56" s="213">
        <f t="shared" ref="C56:D67" si="18">+C32</f>
        <v>44595</v>
      </c>
      <c r="D56" s="213">
        <f t="shared" si="18"/>
        <v>44615</v>
      </c>
      <c r="E56" s="214" t="s">
        <v>14</v>
      </c>
      <c r="F56" s="215">
        <v>9</v>
      </c>
      <c r="G56" s="197">
        <v>893</v>
      </c>
      <c r="H56" s="198">
        <f t="shared" si="5"/>
        <v>13.235929037012342</v>
      </c>
      <c r="I56" s="198">
        <f t="shared" si="1"/>
        <v>7.277381992063475</v>
      </c>
      <c r="J56" s="199">
        <f t="shared" si="2"/>
        <v>6498.7021189126835</v>
      </c>
      <c r="K56" s="200">
        <f t="shared" si="11"/>
        <v>11819.684630052021</v>
      </c>
      <c r="L56" s="201">
        <f t="shared" si="12"/>
        <v>-5320.9825111393375</v>
      </c>
      <c r="M56" s="202">
        <f t="shared" si="7"/>
        <v>-290.56341309306208</v>
      </c>
      <c r="N56" s="203">
        <f t="shared" si="8"/>
        <v>-5611.5459242323996</v>
      </c>
      <c r="O56" s="202">
        <v>0</v>
      </c>
      <c r="P56" s="202">
        <v>0</v>
      </c>
      <c r="Q56" s="202">
        <v>0</v>
      </c>
      <c r="R56" s="203">
        <f t="shared" si="9"/>
        <v>-5611.5459242323996</v>
      </c>
    </row>
    <row r="57" spans="1:18" x14ac:dyDescent="0.2">
      <c r="A57" s="160">
        <v>2</v>
      </c>
      <c r="B57" s="195">
        <f t="shared" si="4"/>
        <v>44593</v>
      </c>
      <c r="C57" s="216">
        <f t="shared" si="18"/>
        <v>44623</v>
      </c>
      <c r="D57" s="216">
        <f t="shared" si="18"/>
        <v>44642</v>
      </c>
      <c r="E57" s="204" t="s">
        <v>14</v>
      </c>
      <c r="F57" s="160">
        <v>9</v>
      </c>
      <c r="G57" s="197">
        <v>796</v>
      </c>
      <c r="H57" s="198">
        <f t="shared" si="5"/>
        <v>13.235929037012342</v>
      </c>
      <c r="I57" s="198">
        <f t="shared" si="1"/>
        <v>7.277381992063475</v>
      </c>
      <c r="J57" s="199">
        <f t="shared" si="2"/>
        <v>5792.7960656825262</v>
      </c>
      <c r="K57" s="200">
        <f t="shared" si="11"/>
        <v>10535.799513461825</v>
      </c>
      <c r="L57" s="201">
        <f t="shared" si="12"/>
        <v>-4743.0034477792988</v>
      </c>
      <c r="M57" s="202">
        <f t="shared" si="7"/>
        <v>-259.00165377612257</v>
      </c>
      <c r="N57" s="203">
        <f t="shared" si="8"/>
        <v>-5002.0051015554218</v>
      </c>
      <c r="O57" s="202">
        <v>0</v>
      </c>
      <c r="P57" s="202">
        <v>0</v>
      </c>
      <c r="Q57" s="202">
        <v>0</v>
      </c>
      <c r="R57" s="203">
        <f t="shared" si="9"/>
        <v>-5002.0051015554218</v>
      </c>
    </row>
    <row r="58" spans="1:18" x14ac:dyDescent="0.2">
      <c r="A58" s="160">
        <v>3</v>
      </c>
      <c r="B58" s="195">
        <f t="shared" si="4"/>
        <v>44621</v>
      </c>
      <c r="C58" s="216">
        <f t="shared" si="18"/>
        <v>44656</v>
      </c>
      <c r="D58" s="216">
        <f t="shared" si="18"/>
        <v>44676</v>
      </c>
      <c r="E58" s="204" t="s">
        <v>14</v>
      </c>
      <c r="F58" s="160">
        <v>9</v>
      </c>
      <c r="G58" s="197">
        <v>700</v>
      </c>
      <c r="H58" s="198">
        <f t="shared" si="5"/>
        <v>13.235929037012342</v>
      </c>
      <c r="I58" s="198">
        <f t="shared" si="1"/>
        <v>7.277381992063475</v>
      </c>
      <c r="J58" s="199">
        <f t="shared" si="2"/>
        <v>5094.1673944444328</v>
      </c>
      <c r="K58" s="200">
        <f t="shared" si="11"/>
        <v>9265.1503259086403</v>
      </c>
      <c r="L58" s="201">
        <f>+J58-K58</f>
        <v>-4170.9829314642075</v>
      </c>
      <c r="M58" s="202">
        <f t="shared" si="7"/>
        <v>-227.76527342121329</v>
      </c>
      <c r="N58" s="203">
        <f t="shared" si="8"/>
        <v>-4398.7482048854208</v>
      </c>
      <c r="O58" s="202">
        <v>0</v>
      </c>
      <c r="P58" s="202">
        <v>0</v>
      </c>
      <c r="Q58" s="202">
        <v>0</v>
      </c>
      <c r="R58" s="203">
        <f t="shared" si="9"/>
        <v>-4398.7482048854208</v>
      </c>
    </row>
    <row r="59" spans="1:18" x14ac:dyDescent="0.2">
      <c r="A59" s="124">
        <v>4</v>
      </c>
      <c r="B59" s="195">
        <f t="shared" si="4"/>
        <v>44652</v>
      </c>
      <c r="C59" s="216">
        <f t="shared" si="18"/>
        <v>44685</v>
      </c>
      <c r="D59" s="216">
        <f t="shared" si="18"/>
        <v>44705</v>
      </c>
      <c r="E59" s="204" t="s">
        <v>14</v>
      </c>
      <c r="F59" s="160">
        <v>9</v>
      </c>
      <c r="G59" s="197">
        <v>549</v>
      </c>
      <c r="H59" s="198">
        <f t="shared" si="5"/>
        <v>13.235929037012342</v>
      </c>
      <c r="I59" s="198">
        <f t="shared" si="1"/>
        <v>7.277381992063475</v>
      </c>
      <c r="J59" s="199">
        <f t="shared" si="2"/>
        <v>3995.2827136428477</v>
      </c>
      <c r="K59" s="200">
        <f t="shared" si="11"/>
        <v>7266.5250413197755</v>
      </c>
      <c r="L59" s="201">
        <f t="shared" ref="L59:L81" si="19">+J59-K59</f>
        <v>-3271.2423276769277</v>
      </c>
      <c r="M59" s="202">
        <f t="shared" si="7"/>
        <v>-178.63305015463729</v>
      </c>
      <c r="N59" s="203">
        <f t="shared" si="8"/>
        <v>-3449.8753778315649</v>
      </c>
      <c r="O59" s="202">
        <v>0</v>
      </c>
      <c r="P59" s="202">
        <v>0</v>
      </c>
      <c r="Q59" s="202">
        <v>0</v>
      </c>
      <c r="R59" s="203">
        <f t="shared" si="9"/>
        <v>-3449.8753778315649</v>
      </c>
    </row>
    <row r="60" spans="1:18" x14ac:dyDescent="0.2">
      <c r="A60" s="160">
        <v>5</v>
      </c>
      <c r="B60" s="195">
        <f t="shared" si="4"/>
        <v>44682</v>
      </c>
      <c r="C60" s="216">
        <f t="shared" si="18"/>
        <v>44715</v>
      </c>
      <c r="D60" s="216">
        <f t="shared" si="18"/>
        <v>44735</v>
      </c>
      <c r="E60" s="54" t="s">
        <v>14</v>
      </c>
      <c r="F60" s="160">
        <v>9</v>
      </c>
      <c r="G60" s="197">
        <v>753</v>
      </c>
      <c r="H60" s="198">
        <f t="shared" si="5"/>
        <v>13.235929037012342</v>
      </c>
      <c r="I60" s="198">
        <f t="shared" si="1"/>
        <v>7.277381992063475</v>
      </c>
      <c r="J60" s="199">
        <f t="shared" si="2"/>
        <v>5479.8686400237966</v>
      </c>
      <c r="K60" s="200">
        <f t="shared" si="11"/>
        <v>9966.6545648702941</v>
      </c>
      <c r="L60" s="201">
        <f t="shared" si="19"/>
        <v>-4486.7859248464974</v>
      </c>
      <c r="M60" s="202">
        <f t="shared" si="7"/>
        <v>-245.01035840881943</v>
      </c>
      <c r="N60" s="203">
        <f t="shared" si="8"/>
        <v>-4731.7962832553167</v>
      </c>
      <c r="O60" s="202">
        <v>0</v>
      </c>
      <c r="P60" s="202">
        <v>0</v>
      </c>
      <c r="Q60" s="202">
        <v>0</v>
      </c>
      <c r="R60" s="203">
        <f t="shared" si="9"/>
        <v>-4731.7962832553167</v>
      </c>
    </row>
    <row r="61" spans="1:18" x14ac:dyDescent="0.2">
      <c r="A61" s="160">
        <v>6</v>
      </c>
      <c r="B61" s="195">
        <f t="shared" si="4"/>
        <v>44713</v>
      </c>
      <c r="C61" s="216">
        <f t="shared" si="18"/>
        <v>44747</v>
      </c>
      <c r="D61" s="216">
        <f t="shared" si="18"/>
        <v>44767</v>
      </c>
      <c r="E61" s="54" t="s">
        <v>14</v>
      </c>
      <c r="F61" s="160">
        <v>9</v>
      </c>
      <c r="G61" s="197">
        <v>942</v>
      </c>
      <c r="H61" s="198">
        <f t="shared" si="5"/>
        <v>13.235929037012342</v>
      </c>
      <c r="I61" s="198">
        <f t="shared" si="1"/>
        <v>7.277381992063475</v>
      </c>
      <c r="J61" s="199">
        <f t="shared" si="2"/>
        <v>6855.2938365237933</v>
      </c>
      <c r="K61" s="200">
        <f t="shared" si="11"/>
        <v>12468.245152865626</v>
      </c>
      <c r="L61" s="205">
        <f t="shared" si="19"/>
        <v>-5612.9513163418324</v>
      </c>
      <c r="M61" s="202">
        <f t="shared" si="7"/>
        <v>-306.50698223254705</v>
      </c>
      <c r="N61" s="203">
        <f t="shared" si="8"/>
        <v>-5919.4582985743791</v>
      </c>
      <c r="O61" s="202">
        <v>0</v>
      </c>
      <c r="P61" s="202">
        <v>0</v>
      </c>
      <c r="Q61" s="202">
        <v>0</v>
      </c>
      <c r="R61" s="203">
        <f t="shared" si="9"/>
        <v>-5919.4582985743791</v>
      </c>
    </row>
    <row r="62" spans="1:18" x14ac:dyDescent="0.2">
      <c r="A62" s="124">
        <v>7</v>
      </c>
      <c r="B62" s="195">
        <f t="shared" si="4"/>
        <v>44743</v>
      </c>
      <c r="C62" s="216">
        <f t="shared" si="18"/>
        <v>44776</v>
      </c>
      <c r="D62" s="216">
        <f t="shared" si="18"/>
        <v>44796</v>
      </c>
      <c r="E62" s="54" t="s">
        <v>14</v>
      </c>
      <c r="F62" s="160">
        <v>9</v>
      </c>
      <c r="G62" s="197">
        <v>1036</v>
      </c>
      <c r="H62" s="198">
        <f t="shared" si="5"/>
        <v>13.235929037012342</v>
      </c>
      <c r="I62" s="198">
        <f t="shared" si="1"/>
        <v>7.277381992063475</v>
      </c>
      <c r="J62" s="199">
        <f t="shared" si="2"/>
        <v>7539.3677437777606</v>
      </c>
      <c r="K62" s="206">
        <f t="shared" si="11"/>
        <v>13712.422482344786</v>
      </c>
      <c r="L62" s="205">
        <f t="shared" si="19"/>
        <v>-6173.0547385670252</v>
      </c>
      <c r="M62" s="202">
        <f t="shared" si="7"/>
        <v>-337.09260466339566</v>
      </c>
      <c r="N62" s="203">
        <f t="shared" si="8"/>
        <v>-6510.147343230421</v>
      </c>
      <c r="O62" s="202">
        <v>0</v>
      </c>
      <c r="P62" s="202">
        <v>0</v>
      </c>
      <c r="Q62" s="202">
        <v>0</v>
      </c>
      <c r="R62" s="203">
        <f t="shared" si="9"/>
        <v>-6510.147343230421</v>
      </c>
    </row>
    <row r="63" spans="1:18" x14ac:dyDescent="0.2">
      <c r="A63" s="160">
        <v>8</v>
      </c>
      <c r="B63" s="195">
        <f t="shared" si="4"/>
        <v>44774</v>
      </c>
      <c r="C63" s="216">
        <f t="shared" si="18"/>
        <v>44809</v>
      </c>
      <c r="D63" s="216">
        <f t="shared" si="18"/>
        <v>44827</v>
      </c>
      <c r="E63" s="54" t="s">
        <v>14</v>
      </c>
      <c r="F63" s="160">
        <v>9</v>
      </c>
      <c r="G63" s="197">
        <v>954</v>
      </c>
      <c r="H63" s="198">
        <f t="shared" si="5"/>
        <v>13.235929037012342</v>
      </c>
      <c r="I63" s="198">
        <f t="shared" si="1"/>
        <v>7.277381992063475</v>
      </c>
      <c r="J63" s="199">
        <f t="shared" si="2"/>
        <v>6942.6224204285554</v>
      </c>
      <c r="K63" s="206">
        <f t="shared" si="11"/>
        <v>12627.076301309775</v>
      </c>
      <c r="L63" s="205">
        <f t="shared" si="19"/>
        <v>-5684.4538808812194</v>
      </c>
      <c r="M63" s="202">
        <f t="shared" si="7"/>
        <v>-310.4115297769107</v>
      </c>
      <c r="N63" s="203">
        <f t="shared" si="8"/>
        <v>-5994.8654106581298</v>
      </c>
      <c r="O63" s="202">
        <v>0</v>
      </c>
      <c r="P63" s="202">
        <v>0</v>
      </c>
      <c r="Q63" s="202">
        <v>0</v>
      </c>
      <c r="R63" s="203">
        <f t="shared" si="9"/>
        <v>-5994.8654106581298</v>
      </c>
    </row>
    <row r="64" spans="1:18" x14ac:dyDescent="0.2">
      <c r="A64" s="160">
        <v>9</v>
      </c>
      <c r="B64" s="195">
        <f t="shared" si="4"/>
        <v>44805</v>
      </c>
      <c r="C64" s="216">
        <f t="shared" si="18"/>
        <v>44839</v>
      </c>
      <c r="D64" s="216">
        <f t="shared" si="18"/>
        <v>44859</v>
      </c>
      <c r="E64" s="54" t="s">
        <v>14</v>
      </c>
      <c r="F64" s="160">
        <v>9</v>
      </c>
      <c r="G64" s="197">
        <v>860</v>
      </c>
      <c r="H64" s="198">
        <f t="shared" si="5"/>
        <v>13.235929037012342</v>
      </c>
      <c r="I64" s="198">
        <f t="shared" ref="I64:I107" si="20">$J$3</f>
        <v>7.277381992063475</v>
      </c>
      <c r="J64" s="199">
        <f t="shared" si="2"/>
        <v>6258.5485131745882</v>
      </c>
      <c r="K64" s="206">
        <f t="shared" si="11"/>
        <v>11382.898971830615</v>
      </c>
      <c r="L64" s="205">
        <f t="shared" si="19"/>
        <v>-5124.3504586560266</v>
      </c>
      <c r="M64" s="202">
        <f t="shared" si="7"/>
        <v>-279.82590734606208</v>
      </c>
      <c r="N64" s="203">
        <f t="shared" si="8"/>
        <v>-5404.1763660020888</v>
      </c>
      <c r="O64" s="202">
        <v>0</v>
      </c>
      <c r="P64" s="202">
        <v>0</v>
      </c>
      <c r="Q64" s="202">
        <v>0</v>
      </c>
      <c r="R64" s="203">
        <f t="shared" si="9"/>
        <v>-5404.1763660020888</v>
      </c>
    </row>
    <row r="65" spans="1:18" x14ac:dyDescent="0.2">
      <c r="A65" s="124">
        <v>10</v>
      </c>
      <c r="B65" s="195">
        <f t="shared" si="4"/>
        <v>44835</v>
      </c>
      <c r="C65" s="216">
        <f t="shared" si="18"/>
        <v>44868</v>
      </c>
      <c r="D65" s="216">
        <f t="shared" si="18"/>
        <v>44888</v>
      </c>
      <c r="E65" s="54" t="s">
        <v>14</v>
      </c>
      <c r="F65" s="160">
        <v>9</v>
      </c>
      <c r="G65" s="197">
        <v>589</v>
      </c>
      <c r="H65" s="198">
        <f t="shared" si="5"/>
        <v>13.235929037012342</v>
      </c>
      <c r="I65" s="198">
        <f t="shared" si="20"/>
        <v>7.277381992063475</v>
      </c>
      <c r="J65" s="199">
        <f t="shared" si="2"/>
        <v>4286.3779933253863</v>
      </c>
      <c r="K65" s="206">
        <f t="shared" si="11"/>
        <v>7795.9622028002696</v>
      </c>
      <c r="L65" s="205">
        <f t="shared" si="19"/>
        <v>-3509.5842094748832</v>
      </c>
      <c r="M65" s="202">
        <f t="shared" si="7"/>
        <v>-191.64820863584947</v>
      </c>
      <c r="N65" s="203">
        <f t="shared" si="8"/>
        <v>-3701.2324181107329</v>
      </c>
      <c r="O65" s="202">
        <v>0</v>
      </c>
      <c r="P65" s="202">
        <v>0</v>
      </c>
      <c r="Q65" s="202">
        <v>0</v>
      </c>
      <c r="R65" s="203">
        <f t="shared" si="9"/>
        <v>-3701.2324181107329</v>
      </c>
    </row>
    <row r="66" spans="1:18" x14ac:dyDescent="0.2">
      <c r="A66" s="160">
        <v>11</v>
      </c>
      <c r="B66" s="195">
        <f t="shared" si="4"/>
        <v>44866</v>
      </c>
      <c r="C66" s="216">
        <f t="shared" si="18"/>
        <v>44900</v>
      </c>
      <c r="D66" s="216">
        <f t="shared" si="18"/>
        <v>44918</v>
      </c>
      <c r="E66" s="54" t="s">
        <v>14</v>
      </c>
      <c r="F66" s="160">
        <v>9</v>
      </c>
      <c r="G66" s="197">
        <v>730</v>
      </c>
      <c r="H66" s="198">
        <f t="shared" si="5"/>
        <v>13.235929037012342</v>
      </c>
      <c r="I66" s="198">
        <f t="shared" si="20"/>
        <v>7.277381992063475</v>
      </c>
      <c r="J66" s="199">
        <f t="shared" si="2"/>
        <v>5312.4888542063363</v>
      </c>
      <c r="K66" s="206">
        <f t="shared" si="11"/>
        <v>9662.2281970190106</v>
      </c>
      <c r="L66" s="205">
        <f t="shared" si="19"/>
        <v>-4349.7393428126743</v>
      </c>
      <c r="M66" s="202">
        <f t="shared" si="7"/>
        <v>-237.52664228212245</v>
      </c>
      <c r="N66" s="203">
        <f t="shared" si="8"/>
        <v>-4587.2659850947966</v>
      </c>
      <c r="O66" s="202">
        <v>0</v>
      </c>
      <c r="P66" s="202">
        <v>0</v>
      </c>
      <c r="Q66" s="202">
        <v>0</v>
      </c>
      <c r="R66" s="203">
        <f t="shared" si="9"/>
        <v>-4587.2659850947966</v>
      </c>
    </row>
    <row r="67" spans="1:18" s="220" customFormat="1" x14ac:dyDescent="0.2">
      <c r="A67" s="160">
        <v>12</v>
      </c>
      <c r="B67" s="218">
        <f t="shared" si="4"/>
        <v>44896</v>
      </c>
      <c r="C67" s="216">
        <f t="shared" si="18"/>
        <v>44930</v>
      </c>
      <c r="D67" s="216">
        <f t="shared" si="18"/>
        <v>44950</v>
      </c>
      <c r="E67" s="219" t="s">
        <v>14</v>
      </c>
      <c r="F67" s="171">
        <v>9</v>
      </c>
      <c r="G67" s="207">
        <v>1123</v>
      </c>
      <c r="H67" s="208">
        <f t="shared" si="5"/>
        <v>13.235929037012342</v>
      </c>
      <c r="I67" s="208">
        <f t="shared" si="20"/>
        <v>7.277381992063475</v>
      </c>
      <c r="J67" s="209">
        <f t="shared" si="2"/>
        <v>8172.4999770872828</v>
      </c>
      <c r="K67" s="210">
        <f t="shared" si="11"/>
        <v>14863.948308564861</v>
      </c>
      <c r="L67" s="211">
        <f t="shared" si="19"/>
        <v>-6691.448331477578</v>
      </c>
      <c r="M67" s="202">
        <f t="shared" si="7"/>
        <v>-365.40057436003218</v>
      </c>
      <c r="N67" s="203">
        <f t="shared" si="8"/>
        <v>-7056.8489058376099</v>
      </c>
      <c r="O67" s="202">
        <v>0</v>
      </c>
      <c r="P67" s="202">
        <v>0</v>
      </c>
      <c r="Q67" s="202">
        <v>0</v>
      </c>
      <c r="R67" s="203">
        <f t="shared" si="9"/>
        <v>-7056.8489058376099</v>
      </c>
    </row>
    <row r="68" spans="1:18" x14ac:dyDescent="0.2">
      <c r="A68" s="124">
        <v>1</v>
      </c>
      <c r="B68" s="195">
        <f t="shared" si="4"/>
        <v>44562</v>
      </c>
      <c r="C68" s="213">
        <f t="shared" ref="C68:D79" si="21">+C56</f>
        <v>44595</v>
      </c>
      <c r="D68" s="213">
        <f t="shared" si="21"/>
        <v>44615</v>
      </c>
      <c r="E68" s="196" t="s">
        <v>83</v>
      </c>
      <c r="F68" s="124">
        <v>9</v>
      </c>
      <c r="G68" s="197">
        <v>48</v>
      </c>
      <c r="H68" s="198">
        <f t="shared" si="5"/>
        <v>13.235929037012342</v>
      </c>
      <c r="I68" s="198">
        <f t="shared" si="20"/>
        <v>7.277381992063475</v>
      </c>
      <c r="J68" s="199">
        <f t="shared" si="2"/>
        <v>349.3143356190468</v>
      </c>
      <c r="K68" s="200">
        <f t="shared" si="11"/>
        <v>635.32459377659245</v>
      </c>
      <c r="L68" s="201">
        <f t="shared" si="19"/>
        <v>-286.01025815754565</v>
      </c>
      <c r="M68" s="202">
        <f t="shared" si="7"/>
        <v>-15.618190177454625</v>
      </c>
      <c r="N68" s="203">
        <f t="shared" si="8"/>
        <v>-301.62844833500026</v>
      </c>
      <c r="O68" s="202">
        <v>0</v>
      </c>
      <c r="P68" s="202">
        <v>0</v>
      </c>
      <c r="Q68" s="202">
        <v>0</v>
      </c>
      <c r="R68" s="203">
        <f t="shared" si="9"/>
        <v>-301.62844833500026</v>
      </c>
    </row>
    <row r="69" spans="1:18" x14ac:dyDescent="0.2">
      <c r="A69" s="160">
        <v>2</v>
      </c>
      <c r="B69" s="195">
        <f t="shared" si="4"/>
        <v>44593</v>
      </c>
      <c r="C69" s="216">
        <f t="shared" si="21"/>
        <v>44623</v>
      </c>
      <c r="D69" s="216">
        <f t="shared" si="21"/>
        <v>44642</v>
      </c>
      <c r="E69" s="204" t="s">
        <v>83</v>
      </c>
      <c r="F69" s="160">
        <v>9</v>
      </c>
      <c r="G69" s="197">
        <v>45</v>
      </c>
      <c r="H69" s="198">
        <f t="shared" si="5"/>
        <v>13.235929037012342</v>
      </c>
      <c r="I69" s="198">
        <f t="shared" si="20"/>
        <v>7.277381992063475</v>
      </c>
      <c r="J69" s="199">
        <f t="shared" si="2"/>
        <v>327.48218964285638</v>
      </c>
      <c r="K69" s="200">
        <f t="shared" si="11"/>
        <v>595.61680666555537</v>
      </c>
      <c r="L69" s="201">
        <f t="shared" si="19"/>
        <v>-268.13461702269899</v>
      </c>
      <c r="M69" s="202">
        <f t="shared" si="7"/>
        <v>-14.642053291363712</v>
      </c>
      <c r="N69" s="203">
        <f t="shared" si="8"/>
        <v>-282.7766703140627</v>
      </c>
      <c r="O69" s="202">
        <v>0</v>
      </c>
      <c r="P69" s="202">
        <v>0</v>
      </c>
      <c r="Q69" s="202">
        <v>0</v>
      </c>
      <c r="R69" s="203">
        <f t="shared" si="9"/>
        <v>-282.7766703140627</v>
      </c>
    </row>
    <row r="70" spans="1:18" x14ac:dyDescent="0.2">
      <c r="A70" s="160">
        <v>3</v>
      </c>
      <c r="B70" s="195">
        <f t="shared" si="4"/>
        <v>44621</v>
      </c>
      <c r="C70" s="216">
        <f t="shared" si="21"/>
        <v>44656</v>
      </c>
      <c r="D70" s="216">
        <f t="shared" si="21"/>
        <v>44676</v>
      </c>
      <c r="E70" s="204" t="s">
        <v>83</v>
      </c>
      <c r="F70" s="160">
        <v>9</v>
      </c>
      <c r="G70" s="197">
        <v>38</v>
      </c>
      <c r="H70" s="198">
        <f t="shared" si="5"/>
        <v>13.235929037012342</v>
      </c>
      <c r="I70" s="198">
        <f t="shared" si="20"/>
        <v>7.277381992063475</v>
      </c>
      <c r="J70" s="199">
        <f t="shared" si="2"/>
        <v>276.54051569841204</v>
      </c>
      <c r="K70" s="200">
        <f t="shared" si="11"/>
        <v>502.96530340646899</v>
      </c>
      <c r="L70" s="201">
        <f>+J70-K70</f>
        <v>-226.42478770805695</v>
      </c>
      <c r="M70" s="202">
        <f t="shared" si="7"/>
        <v>-12.364400557151578</v>
      </c>
      <c r="N70" s="203">
        <f t="shared" si="8"/>
        <v>-238.78918826520854</v>
      </c>
      <c r="O70" s="202">
        <v>0</v>
      </c>
      <c r="P70" s="202">
        <v>0</v>
      </c>
      <c r="Q70" s="202">
        <v>0</v>
      </c>
      <c r="R70" s="203">
        <f t="shared" si="9"/>
        <v>-238.78918826520854</v>
      </c>
    </row>
    <row r="71" spans="1:18" x14ac:dyDescent="0.2">
      <c r="A71" s="124">
        <v>4</v>
      </c>
      <c r="B71" s="195">
        <f t="shared" si="4"/>
        <v>44652</v>
      </c>
      <c r="C71" s="216">
        <f t="shared" si="21"/>
        <v>44685</v>
      </c>
      <c r="D71" s="216">
        <f t="shared" si="21"/>
        <v>44705</v>
      </c>
      <c r="E71" s="204" t="s">
        <v>83</v>
      </c>
      <c r="F71" s="160">
        <v>9</v>
      </c>
      <c r="G71" s="197">
        <v>26</v>
      </c>
      <c r="H71" s="198">
        <f t="shared" si="5"/>
        <v>13.235929037012342</v>
      </c>
      <c r="I71" s="198">
        <f t="shared" si="20"/>
        <v>7.277381992063475</v>
      </c>
      <c r="J71" s="199">
        <f t="shared" si="2"/>
        <v>189.21193179365036</v>
      </c>
      <c r="K71" s="200">
        <f t="shared" si="11"/>
        <v>344.13415496232091</v>
      </c>
      <c r="L71" s="201">
        <f t="shared" ref="L71:L79" si="22">+J71-K71</f>
        <v>-154.92222316867054</v>
      </c>
      <c r="M71" s="202">
        <f t="shared" si="7"/>
        <v>-8.4598530127879226</v>
      </c>
      <c r="N71" s="203">
        <f t="shared" si="8"/>
        <v>-163.38207618145847</v>
      </c>
      <c r="O71" s="202">
        <v>0</v>
      </c>
      <c r="P71" s="202">
        <v>0</v>
      </c>
      <c r="Q71" s="202">
        <v>0</v>
      </c>
      <c r="R71" s="203">
        <f t="shared" si="9"/>
        <v>-163.38207618145847</v>
      </c>
    </row>
    <row r="72" spans="1:18" x14ac:dyDescent="0.2">
      <c r="A72" s="160">
        <v>5</v>
      </c>
      <c r="B72" s="195">
        <f t="shared" si="4"/>
        <v>44682</v>
      </c>
      <c r="C72" s="216">
        <f t="shared" si="21"/>
        <v>44715</v>
      </c>
      <c r="D72" s="216">
        <f t="shared" si="21"/>
        <v>44735</v>
      </c>
      <c r="E72" s="204" t="s">
        <v>83</v>
      </c>
      <c r="F72" s="160">
        <v>9</v>
      </c>
      <c r="G72" s="197">
        <v>43</v>
      </c>
      <c r="H72" s="198">
        <f t="shared" si="5"/>
        <v>13.235929037012342</v>
      </c>
      <c r="I72" s="198">
        <f t="shared" si="20"/>
        <v>7.277381992063475</v>
      </c>
      <c r="J72" s="199">
        <f t="shared" si="2"/>
        <v>312.92742565872942</v>
      </c>
      <c r="K72" s="200">
        <f t="shared" si="11"/>
        <v>569.14494859153069</v>
      </c>
      <c r="L72" s="201">
        <f t="shared" si="22"/>
        <v>-256.21752293280127</v>
      </c>
      <c r="M72" s="202">
        <f t="shared" si="7"/>
        <v>-13.991295367303103</v>
      </c>
      <c r="N72" s="203">
        <f t="shared" si="8"/>
        <v>-270.20881830010438</v>
      </c>
      <c r="O72" s="202">
        <v>0</v>
      </c>
      <c r="P72" s="202">
        <v>0</v>
      </c>
      <c r="Q72" s="202">
        <v>0</v>
      </c>
      <c r="R72" s="203">
        <f t="shared" si="9"/>
        <v>-270.20881830010438</v>
      </c>
    </row>
    <row r="73" spans="1:18" x14ac:dyDescent="0.2">
      <c r="A73" s="160">
        <v>6</v>
      </c>
      <c r="B73" s="195">
        <f t="shared" si="4"/>
        <v>44713</v>
      </c>
      <c r="C73" s="216">
        <f t="shared" si="21"/>
        <v>44747</v>
      </c>
      <c r="D73" s="216">
        <f t="shared" si="21"/>
        <v>44767</v>
      </c>
      <c r="E73" s="204" t="s">
        <v>83</v>
      </c>
      <c r="F73" s="160">
        <v>9</v>
      </c>
      <c r="G73" s="197">
        <v>54</v>
      </c>
      <c r="H73" s="198">
        <f t="shared" si="5"/>
        <v>13.235929037012342</v>
      </c>
      <c r="I73" s="198">
        <f t="shared" si="20"/>
        <v>7.277381992063475</v>
      </c>
      <c r="J73" s="199">
        <f t="shared" si="2"/>
        <v>392.97862757142764</v>
      </c>
      <c r="K73" s="200">
        <f t="shared" si="11"/>
        <v>714.74016799866649</v>
      </c>
      <c r="L73" s="205">
        <f t="shared" si="22"/>
        <v>-321.76154042723886</v>
      </c>
      <c r="M73" s="202">
        <f t="shared" si="7"/>
        <v>-17.570463949636455</v>
      </c>
      <c r="N73" s="203">
        <f t="shared" si="8"/>
        <v>-339.33200437687532</v>
      </c>
      <c r="O73" s="202">
        <v>0</v>
      </c>
      <c r="P73" s="202">
        <v>0</v>
      </c>
      <c r="Q73" s="202">
        <v>0</v>
      </c>
      <c r="R73" s="203">
        <f t="shared" si="9"/>
        <v>-339.33200437687532</v>
      </c>
    </row>
    <row r="74" spans="1:18" x14ac:dyDescent="0.2">
      <c r="A74" s="124">
        <v>7</v>
      </c>
      <c r="B74" s="195">
        <f t="shared" si="4"/>
        <v>44743</v>
      </c>
      <c r="C74" s="216">
        <f t="shared" si="21"/>
        <v>44776</v>
      </c>
      <c r="D74" s="216">
        <f t="shared" si="21"/>
        <v>44796</v>
      </c>
      <c r="E74" s="204" t="s">
        <v>83</v>
      </c>
      <c r="F74" s="160">
        <v>9</v>
      </c>
      <c r="G74" s="197">
        <v>57</v>
      </c>
      <c r="H74" s="198">
        <f t="shared" si="5"/>
        <v>13.235929037012342</v>
      </c>
      <c r="I74" s="198">
        <f t="shared" si="20"/>
        <v>7.277381992063475</v>
      </c>
      <c r="J74" s="199">
        <f t="shared" si="2"/>
        <v>414.81077354761806</v>
      </c>
      <c r="K74" s="206">
        <f t="shared" si="11"/>
        <v>754.44795510970346</v>
      </c>
      <c r="L74" s="205">
        <f t="shared" si="22"/>
        <v>-339.6371815620854</v>
      </c>
      <c r="M74" s="202">
        <f t="shared" si="7"/>
        <v>-18.546600835727368</v>
      </c>
      <c r="N74" s="203">
        <f t="shared" si="8"/>
        <v>-358.18378239781276</v>
      </c>
      <c r="O74" s="202">
        <v>0</v>
      </c>
      <c r="P74" s="202">
        <v>0</v>
      </c>
      <c r="Q74" s="202">
        <v>0</v>
      </c>
      <c r="R74" s="203">
        <f t="shared" si="9"/>
        <v>-358.18378239781276</v>
      </c>
    </row>
    <row r="75" spans="1:18" x14ac:dyDescent="0.2">
      <c r="A75" s="160">
        <v>8</v>
      </c>
      <c r="B75" s="195">
        <f t="shared" si="4"/>
        <v>44774</v>
      </c>
      <c r="C75" s="216">
        <f t="shared" si="21"/>
        <v>44809</v>
      </c>
      <c r="D75" s="216">
        <f t="shared" si="21"/>
        <v>44827</v>
      </c>
      <c r="E75" s="204" t="s">
        <v>83</v>
      </c>
      <c r="F75" s="160">
        <v>9</v>
      </c>
      <c r="G75" s="197">
        <v>54</v>
      </c>
      <c r="H75" s="198">
        <f t="shared" si="5"/>
        <v>13.235929037012342</v>
      </c>
      <c r="I75" s="198">
        <f t="shared" si="20"/>
        <v>7.277381992063475</v>
      </c>
      <c r="J75" s="199">
        <f t="shared" si="2"/>
        <v>392.97862757142764</v>
      </c>
      <c r="K75" s="206">
        <f t="shared" si="11"/>
        <v>714.74016799866649</v>
      </c>
      <c r="L75" s="205">
        <f t="shared" si="22"/>
        <v>-321.76154042723886</v>
      </c>
      <c r="M75" s="202">
        <f t="shared" si="7"/>
        <v>-17.570463949636455</v>
      </c>
      <c r="N75" s="203">
        <f t="shared" si="8"/>
        <v>-339.33200437687532</v>
      </c>
      <c r="O75" s="202">
        <v>0</v>
      </c>
      <c r="P75" s="202">
        <v>0</v>
      </c>
      <c r="Q75" s="202">
        <v>0</v>
      </c>
      <c r="R75" s="203">
        <f t="shared" si="9"/>
        <v>-339.33200437687532</v>
      </c>
    </row>
    <row r="76" spans="1:18" x14ac:dyDescent="0.2">
      <c r="A76" s="160">
        <v>9</v>
      </c>
      <c r="B76" s="195">
        <f t="shared" si="4"/>
        <v>44805</v>
      </c>
      <c r="C76" s="216">
        <f t="shared" si="21"/>
        <v>44839</v>
      </c>
      <c r="D76" s="216">
        <f t="shared" si="21"/>
        <v>44859</v>
      </c>
      <c r="E76" s="204" t="s">
        <v>83</v>
      </c>
      <c r="F76" s="160">
        <v>9</v>
      </c>
      <c r="G76" s="197">
        <v>53</v>
      </c>
      <c r="H76" s="198">
        <f t="shared" si="5"/>
        <v>13.235929037012342</v>
      </c>
      <c r="I76" s="198">
        <f t="shared" si="20"/>
        <v>7.277381992063475</v>
      </c>
      <c r="J76" s="199">
        <f t="shared" si="2"/>
        <v>385.70124557936418</v>
      </c>
      <c r="K76" s="206">
        <f t="shared" si="11"/>
        <v>701.5042389616541</v>
      </c>
      <c r="L76" s="205">
        <f t="shared" si="22"/>
        <v>-315.80299338228991</v>
      </c>
      <c r="M76" s="202">
        <f t="shared" si="7"/>
        <v>-17.245084987606148</v>
      </c>
      <c r="N76" s="203">
        <f t="shared" si="8"/>
        <v>-333.04807836989607</v>
      </c>
      <c r="O76" s="202">
        <v>0</v>
      </c>
      <c r="P76" s="202">
        <v>0</v>
      </c>
      <c r="Q76" s="202">
        <v>0</v>
      </c>
      <c r="R76" s="203">
        <f t="shared" si="9"/>
        <v>-333.04807836989607</v>
      </c>
    </row>
    <row r="77" spans="1:18" x14ac:dyDescent="0.2">
      <c r="A77" s="124">
        <v>10</v>
      </c>
      <c r="B77" s="195">
        <f t="shared" si="4"/>
        <v>44835</v>
      </c>
      <c r="C77" s="216">
        <f t="shared" si="21"/>
        <v>44868</v>
      </c>
      <c r="D77" s="216">
        <f t="shared" si="21"/>
        <v>44888</v>
      </c>
      <c r="E77" s="204" t="s">
        <v>83</v>
      </c>
      <c r="F77" s="160">
        <v>9</v>
      </c>
      <c r="G77" s="197">
        <v>31</v>
      </c>
      <c r="H77" s="198">
        <f t="shared" si="5"/>
        <v>13.235929037012342</v>
      </c>
      <c r="I77" s="198">
        <f t="shared" si="20"/>
        <v>7.277381992063475</v>
      </c>
      <c r="J77" s="199">
        <f t="shared" si="2"/>
        <v>225.59884175396772</v>
      </c>
      <c r="K77" s="206">
        <f t="shared" si="11"/>
        <v>410.31380014738261</v>
      </c>
      <c r="L77" s="205">
        <f t="shared" si="22"/>
        <v>-184.71495839341489</v>
      </c>
      <c r="M77" s="202">
        <f t="shared" si="7"/>
        <v>-10.086747822939445</v>
      </c>
      <c r="N77" s="203">
        <f t="shared" si="8"/>
        <v>-194.80170621635435</v>
      </c>
      <c r="O77" s="202">
        <v>0</v>
      </c>
      <c r="P77" s="202">
        <v>0</v>
      </c>
      <c r="Q77" s="202">
        <v>0</v>
      </c>
      <c r="R77" s="203">
        <f t="shared" si="9"/>
        <v>-194.80170621635435</v>
      </c>
    </row>
    <row r="78" spans="1:18" x14ac:dyDescent="0.2">
      <c r="A78" s="160">
        <v>11</v>
      </c>
      <c r="B78" s="195">
        <f t="shared" si="4"/>
        <v>44866</v>
      </c>
      <c r="C78" s="216">
        <f t="shared" si="21"/>
        <v>44900</v>
      </c>
      <c r="D78" s="216">
        <f t="shared" si="21"/>
        <v>44918</v>
      </c>
      <c r="E78" s="204" t="s">
        <v>83</v>
      </c>
      <c r="F78" s="160">
        <v>9</v>
      </c>
      <c r="G78" s="197">
        <v>38</v>
      </c>
      <c r="H78" s="198">
        <f t="shared" si="5"/>
        <v>13.235929037012342</v>
      </c>
      <c r="I78" s="198">
        <f t="shared" si="20"/>
        <v>7.277381992063475</v>
      </c>
      <c r="J78" s="199">
        <f t="shared" si="2"/>
        <v>276.54051569841204</v>
      </c>
      <c r="K78" s="206">
        <f>+$G78*H78</f>
        <v>502.96530340646899</v>
      </c>
      <c r="L78" s="205">
        <f t="shared" si="22"/>
        <v>-226.42478770805695</v>
      </c>
      <c r="M78" s="202">
        <f t="shared" si="7"/>
        <v>-12.364400557151578</v>
      </c>
      <c r="N78" s="203">
        <f t="shared" si="8"/>
        <v>-238.78918826520854</v>
      </c>
      <c r="O78" s="202">
        <v>0</v>
      </c>
      <c r="P78" s="202">
        <v>0</v>
      </c>
      <c r="Q78" s="202">
        <v>0</v>
      </c>
      <c r="R78" s="203">
        <f t="shared" si="9"/>
        <v>-238.78918826520854</v>
      </c>
    </row>
    <row r="79" spans="1:18" s="220" customFormat="1" x14ac:dyDescent="0.2">
      <c r="A79" s="160">
        <v>12</v>
      </c>
      <c r="B79" s="218">
        <f t="shared" si="4"/>
        <v>44896</v>
      </c>
      <c r="C79" s="221">
        <f t="shared" si="21"/>
        <v>44930</v>
      </c>
      <c r="D79" s="221">
        <f t="shared" si="21"/>
        <v>44950</v>
      </c>
      <c r="E79" s="222" t="s">
        <v>83</v>
      </c>
      <c r="F79" s="171">
        <v>9</v>
      </c>
      <c r="G79" s="207">
        <v>58</v>
      </c>
      <c r="H79" s="208">
        <f t="shared" si="5"/>
        <v>13.235929037012342</v>
      </c>
      <c r="I79" s="208">
        <f t="shared" si="20"/>
        <v>7.277381992063475</v>
      </c>
      <c r="J79" s="209">
        <f t="shared" si="2"/>
        <v>422.08815553968157</v>
      </c>
      <c r="K79" s="210">
        <f>+$G79*H79</f>
        <v>767.68388414671585</v>
      </c>
      <c r="L79" s="211">
        <f t="shared" si="22"/>
        <v>-345.59572860703429</v>
      </c>
      <c r="M79" s="202">
        <f t="shared" si="7"/>
        <v>-18.871979797757671</v>
      </c>
      <c r="N79" s="203">
        <f t="shared" si="8"/>
        <v>-364.46770840479195</v>
      </c>
      <c r="O79" s="202">
        <v>0</v>
      </c>
      <c r="P79" s="202">
        <v>0</v>
      </c>
      <c r="Q79" s="202">
        <v>0</v>
      </c>
      <c r="R79" s="203">
        <f t="shared" si="9"/>
        <v>-364.46770840479195</v>
      </c>
    </row>
    <row r="80" spans="1:18" s="52" customFormat="1" ht="12.75" customHeight="1" x14ac:dyDescent="0.2">
      <c r="A80" s="124">
        <v>1</v>
      </c>
      <c r="B80" s="195">
        <f t="shared" si="4"/>
        <v>44562</v>
      </c>
      <c r="C80" s="213">
        <f t="shared" ref="C80:D91" si="23">+C56</f>
        <v>44595</v>
      </c>
      <c r="D80" s="213">
        <f t="shared" si="23"/>
        <v>44615</v>
      </c>
      <c r="E80" s="196" t="s">
        <v>9</v>
      </c>
      <c r="F80" s="124">
        <v>9</v>
      </c>
      <c r="G80" s="197">
        <v>50</v>
      </c>
      <c r="H80" s="198">
        <f t="shared" si="5"/>
        <v>13.235929037012342</v>
      </c>
      <c r="I80" s="198">
        <f t="shared" si="20"/>
        <v>7.277381992063475</v>
      </c>
      <c r="J80" s="199">
        <f t="shared" si="2"/>
        <v>363.86909960317377</v>
      </c>
      <c r="K80" s="200">
        <f t="shared" si="11"/>
        <v>661.79645185061713</v>
      </c>
      <c r="L80" s="201">
        <f t="shared" si="19"/>
        <v>-297.92735224744337</v>
      </c>
      <c r="M80" s="202">
        <f t="shared" si="7"/>
        <v>-16.268948101515235</v>
      </c>
      <c r="N80" s="203">
        <f t="shared" si="8"/>
        <v>-314.19630034895863</v>
      </c>
      <c r="O80" s="202">
        <v>0</v>
      </c>
      <c r="P80" s="202">
        <v>0</v>
      </c>
      <c r="Q80" s="202">
        <v>0</v>
      </c>
      <c r="R80" s="203">
        <f t="shared" si="9"/>
        <v>-314.19630034895863</v>
      </c>
    </row>
    <row r="81" spans="1:18" x14ac:dyDescent="0.2">
      <c r="A81" s="160">
        <v>2</v>
      </c>
      <c r="B81" s="195">
        <f t="shared" si="4"/>
        <v>44593</v>
      </c>
      <c r="C81" s="216">
        <f t="shared" si="23"/>
        <v>44623</v>
      </c>
      <c r="D81" s="216">
        <f t="shared" si="23"/>
        <v>44642</v>
      </c>
      <c r="E81" s="204" t="s">
        <v>9</v>
      </c>
      <c r="F81" s="160">
        <v>9</v>
      </c>
      <c r="G81" s="197">
        <v>49</v>
      </c>
      <c r="H81" s="198">
        <f t="shared" si="5"/>
        <v>13.235929037012342</v>
      </c>
      <c r="I81" s="198">
        <f t="shared" si="20"/>
        <v>7.277381992063475</v>
      </c>
      <c r="J81" s="199">
        <f t="shared" si="2"/>
        <v>356.59171761111025</v>
      </c>
      <c r="K81" s="200">
        <f t="shared" si="11"/>
        <v>648.56052281360473</v>
      </c>
      <c r="L81" s="201">
        <f t="shared" si="19"/>
        <v>-291.96880520249448</v>
      </c>
      <c r="M81" s="202">
        <f t="shared" si="7"/>
        <v>-15.94356913948493</v>
      </c>
      <c r="N81" s="203">
        <f t="shared" si="8"/>
        <v>-307.91237434197939</v>
      </c>
      <c r="O81" s="202">
        <v>0</v>
      </c>
      <c r="P81" s="202">
        <v>0</v>
      </c>
      <c r="Q81" s="202">
        <v>0</v>
      </c>
      <c r="R81" s="203">
        <f t="shared" si="9"/>
        <v>-307.91237434197939</v>
      </c>
    </row>
    <row r="82" spans="1:18" x14ac:dyDescent="0.2">
      <c r="A82" s="160">
        <v>3</v>
      </c>
      <c r="B82" s="195">
        <f t="shared" si="4"/>
        <v>44621</v>
      </c>
      <c r="C82" s="216">
        <f t="shared" si="23"/>
        <v>44656</v>
      </c>
      <c r="D82" s="216">
        <f t="shared" si="23"/>
        <v>44676</v>
      </c>
      <c r="E82" s="204" t="s">
        <v>9</v>
      </c>
      <c r="F82" s="160">
        <v>9</v>
      </c>
      <c r="G82" s="197">
        <v>45</v>
      </c>
      <c r="H82" s="198">
        <f t="shared" si="5"/>
        <v>13.235929037012342</v>
      </c>
      <c r="I82" s="198">
        <f t="shared" si="20"/>
        <v>7.277381992063475</v>
      </c>
      <c r="J82" s="199">
        <f t="shared" si="2"/>
        <v>327.48218964285638</v>
      </c>
      <c r="K82" s="200">
        <f t="shared" si="11"/>
        <v>595.61680666555537</v>
      </c>
      <c r="L82" s="201">
        <f>+J82-K82</f>
        <v>-268.13461702269899</v>
      </c>
      <c r="M82" s="202">
        <f t="shared" si="7"/>
        <v>-14.642053291363712</v>
      </c>
      <c r="N82" s="203">
        <f t="shared" si="8"/>
        <v>-282.7766703140627</v>
      </c>
      <c r="O82" s="202">
        <v>0</v>
      </c>
      <c r="P82" s="202">
        <v>0</v>
      </c>
      <c r="Q82" s="202">
        <v>0</v>
      </c>
      <c r="R82" s="203">
        <f t="shared" si="9"/>
        <v>-282.7766703140627</v>
      </c>
    </row>
    <row r="83" spans="1:18" ht="12" customHeight="1" x14ac:dyDescent="0.2">
      <c r="A83" s="124">
        <v>4</v>
      </c>
      <c r="B83" s="195">
        <f t="shared" si="4"/>
        <v>44652</v>
      </c>
      <c r="C83" s="216">
        <f t="shared" si="23"/>
        <v>44685</v>
      </c>
      <c r="D83" s="216">
        <f t="shared" si="23"/>
        <v>44705</v>
      </c>
      <c r="E83" s="54" t="s">
        <v>9</v>
      </c>
      <c r="F83" s="160">
        <v>9</v>
      </c>
      <c r="G83" s="197">
        <v>34</v>
      </c>
      <c r="H83" s="198">
        <f t="shared" si="5"/>
        <v>13.235929037012342</v>
      </c>
      <c r="I83" s="198">
        <f t="shared" si="20"/>
        <v>7.277381992063475</v>
      </c>
      <c r="J83" s="199">
        <f t="shared" si="2"/>
        <v>247.43098773015817</v>
      </c>
      <c r="K83" s="200">
        <f t="shared" si="11"/>
        <v>450.02158725841963</v>
      </c>
      <c r="L83" s="201">
        <f t="shared" ref="L83:L93" si="24">+J83-K83</f>
        <v>-202.59059952826146</v>
      </c>
      <c r="M83" s="202">
        <f t="shared" si="7"/>
        <v>-11.06288470903036</v>
      </c>
      <c r="N83" s="203">
        <f t="shared" si="8"/>
        <v>-213.65348423729182</v>
      </c>
      <c r="O83" s="202">
        <v>0</v>
      </c>
      <c r="P83" s="202">
        <v>0</v>
      </c>
      <c r="Q83" s="202">
        <v>0</v>
      </c>
      <c r="R83" s="203">
        <f t="shared" si="9"/>
        <v>-213.65348423729182</v>
      </c>
    </row>
    <row r="84" spans="1:18" ht="12" customHeight="1" x14ac:dyDescent="0.2">
      <c r="A84" s="160">
        <v>5</v>
      </c>
      <c r="B84" s="195">
        <f t="shared" si="4"/>
        <v>44682</v>
      </c>
      <c r="C84" s="216">
        <f t="shared" si="23"/>
        <v>44715</v>
      </c>
      <c r="D84" s="216">
        <f t="shared" si="23"/>
        <v>44735</v>
      </c>
      <c r="E84" s="54" t="s">
        <v>9</v>
      </c>
      <c r="F84" s="160">
        <v>9</v>
      </c>
      <c r="G84" s="197">
        <v>42</v>
      </c>
      <c r="H84" s="198">
        <f t="shared" si="5"/>
        <v>13.235929037012342</v>
      </c>
      <c r="I84" s="198">
        <f t="shared" si="20"/>
        <v>7.277381992063475</v>
      </c>
      <c r="J84" s="199">
        <f t="shared" si="2"/>
        <v>305.65004366666597</v>
      </c>
      <c r="K84" s="200">
        <f t="shared" si="11"/>
        <v>555.90901955451841</v>
      </c>
      <c r="L84" s="201">
        <f t="shared" si="24"/>
        <v>-250.25897588785244</v>
      </c>
      <c r="M84" s="202">
        <f t="shared" si="7"/>
        <v>-13.665916405272798</v>
      </c>
      <c r="N84" s="203">
        <f t="shared" si="8"/>
        <v>-263.92489229312525</v>
      </c>
      <c r="O84" s="202">
        <v>0</v>
      </c>
      <c r="P84" s="202">
        <v>0</v>
      </c>
      <c r="Q84" s="202">
        <v>0</v>
      </c>
      <c r="R84" s="203">
        <f t="shared" si="9"/>
        <v>-263.92489229312525</v>
      </c>
    </row>
    <row r="85" spans="1:18" x14ac:dyDescent="0.2">
      <c r="A85" s="160">
        <v>6</v>
      </c>
      <c r="B85" s="195">
        <f t="shared" si="4"/>
        <v>44713</v>
      </c>
      <c r="C85" s="216">
        <f t="shared" si="23"/>
        <v>44747</v>
      </c>
      <c r="D85" s="216">
        <f t="shared" si="23"/>
        <v>44767</v>
      </c>
      <c r="E85" s="54" t="s">
        <v>9</v>
      </c>
      <c r="F85" s="160">
        <v>9</v>
      </c>
      <c r="G85" s="197">
        <v>49</v>
      </c>
      <c r="H85" s="198">
        <f t="shared" ref="H85:H148" si="25">+$K$3</f>
        <v>13.235929037012342</v>
      </c>
      <c r="I85" s="198">
        <f t="shared" si="20"/>
        <v>7.277381992063475</v>
      </c>
      <c r="J85" s="199">
        <f t="shared" si="2"/>
        <v>356.59171761111025</v>
      </c>
      <c r="K85" s="200">
        <f t="shared" si="11"/>
        <v>648.56052281360473</v>
      </c>
      <c r="L85" s="205">
        <f t="shared" si="24"/>
        <v>-291.96880520249448</v>
      </c>
      <c r="M85" s="202">
        <f t="shared" ref="M85:M148" si="26">G85/$G$212*$M$14</f>
        <v>-15.94356913948493</v>
      </c>
      <c r="N85" s="203">
        <f t="shared" ref="N85:N148" si="27">SUM(L85:M85)</f>
        <v>-307.91237434197939</v>
      </c>
      <c r="O85" s="202">
        <v>0</v>
      </c>
      <c r="P85" s="202">
        <v>0</v>
      </c>
      <c r="Q85" s="202">
        <v>0</v>
      </c>
      <c r="R85" s="203">
        <f t="shared" ref="R85:R148" si="28">+N85-Q85</f>
        <v>-307.91237434197939</v>
      </c>
    </row>
    <row r="86" spans="1:18" x14ac:dyDescent="0.2">
      <c r="A86" s="124">
        <v>7</v>
      </c>
      <c r="B86" s="195">
        <f t="shared" si="4"/>
        <v>44743</v>
      </c>
      <c r="C86" s="216">
        <f t="shared" si="23"/>
        <v>44776</v>
      </c>
      <c r="D86" s="216">
        <f t="shared" si="23"/>
        <v>44796</v>
      </c>
      <c r="E86" s="54" t="s">
        <v>9</v>
      </c>
      <c r="F86" s="160">
        <v>9</v>
      </c>
      <c r="G86" s="197">
        <v>54</v>
      </c>
      <c r="H86" s="198">
        <f t="shared" si="25"/>
        <v>13.235929037012342</v>
      </c>
      <c r="I86" s="198">
        <f t="shared" si="20"/>
        <v>7.277381992063475</v>
      </c>
      <c r="J86" s="199">
        <f t="shared" si="2"/>
        <v>392.97862757142764</v>
      </c>
      <c r="K86" s="206">
        <f t="shared" si="11"/>
        <v>714.74016799866649</v>
      </c>
      <c r="L86" s="205">
        <f t="shared" si="24"/>
        <v>-321.76154042723886</v>
      </c>
      <c r="M86" s="202">
        <f t="shared" si="26"/>
        <v>-17.570463949636455</v>
      </c>
      <c r="N86" s="203">
        <f t="shared" si="27"/>
        <v>-339.33200437687532</v>
      </c>
      <c r="O86" s="202">
        <v>0</v>
      </c>
      <c r="P86" s="202">
        <v>0</v>
      </c>
      <c r="Q86" s="202">
        <v>0</v>
      </c>
      <c r="R86" s="203">
        <f t="shared" si="28"/>
        <v>-339.33200437687532</v>
      </c>
    </row>
    <row r="87" spans="1:18" x14ac:dyDescent="0.2">
      <c r="A87" s="160">
        <v>8</v>
      </c>
      <c r="B87" s="195">
        <f t="shared" si="4"/>
        <v>44774</v>
      </c>
      <c r="C87" s="216">
        <f t="shared" si="23"/>
        <v>44809</v>
      </c>
      <c r="D87" s="216">
        <f t="shared" si="23"/>
        <v>44827</v>
      </c>
      <c r="E87" s="54" t="s">
        <v>9</v>
      </c>
      <c r="F87" s="160">
        <v>9</v>
      </c>
      <c r="G87" s="197">
        <v>47</v>
      </c>
      <c r="H87" s="198">
        <f t="shared" si="25"/>
        <v>13.235929037012342</v>
      </c>
      <c r="I87" s="198">
        <f t="shared" si="20"/>
        <v>7.277381992063475</v>
      </c>
      <c r="J87" s="199">
        <f t="shared" si="2"/>
        <v>342.03695362698335</v>
      </c>
      <c r="K87" s="206">
        <f t="shared" si="11"/>
        <v>622.08866473958005</v>
      </c>
      <c r="L87" s="205">
        <f t="shared" si="24"/>
        <v>-280.05171111259671</v>
      </c>
      <c r="M87" s="202">
        <f t="shared" si="26"/>
        <v>-15.292811215424321</v>
      </c>
      <c r="N87" s="203">
        <f t="shared" si="27"/>
        <v>-295.34452232802101</v>
      </c>
      <c r="O87" s="202">
        <v>0</v>
      </c>
      <c r="P87" s="202">
        <v>0</v>
      </c>
      <c r="Q87" s="202">
        <v>0</v>
      </c>
      <c r="R87" s="203">
        <f t="shared" si="28"/>
        <v>-295.34452232802101</v>
      </c>
    </row>
    <row r="88" spans="1:18" x14ac:dyDescent="0.2">
      <c r="A88" s="160">
        <v>9</v>
      </c>
      <c r="B88" s="195">
        <f t="shared" si="4"/>
        <v>44805</v>
      </c>
      <c r="C88" s="216">
        <f t="shared" si="23"/>
        <v>44839</v>
      </c>
      <c r="D88" s="216">
        <f t="shared" si="23"/>
        <v>44859</v>
      </c>
      <c r="E88" s="54" t="s">
        <v>9</v>
      </c>
      <c r="F88" s="160">
        <v>9</v>
      </c>
      <c r="G88" s="197">
        <v>47</v>
      </c>
      <c r="H88" s="198">
        <f t="shared" si="25"/>
        <v>13.235929037012342</v>
      </c>
      <c r="I88" s="198">
        <f t="shared" si="20"/>
        <v>7.277381992063475</v>
      </c>
      <c r="J88" s="199">
        <f t="shared" si="2"/>
        <v>342.03695362698335</v>
      </c>
      <c r="K88" s="206">
        <f t="shared" si="11"/>
        <v>622.08866473958005</v>
      </c>
      <c r="L88" s="205">
        <f t="shared" si="24"/>
        <v>-280.05171111259671</v>
      </c>
      <c r="M88" s="202">
        <f t="shared" si="26"/>
        <v>-15.292811215424321</v>
      </c>
      <c r="N88" s="203">
        <f t="shared" si="27"/>
        <v>-295.34452232802101</v>
      </c>
      <c r="O88" s="202">
        <v>0</v>
      </c>
      <c r="P88" s="202">
        <v>0</v>
      </c>
      <c r="Q88" s="202">
        <v>0</v>
      </c>
      <c r="R88" s="203">
        <f t="shared" si="28"/>
        <v>-295.34452232802101</v>
      </c>
    </row>
    <row r="89" spans="1:18" x14ac:dyDescent="0.2">
      <c r="A89" s="124">
        <v>10</v>
      </c>
      <c r="B89" s="195">
        <f t="shared" si="4"/>
        <v>44835</v>
      </c>
      <c r="C89" s="216">
        <f t="shared" si="23"/>
        <v>44868</v>
      </c>
      <c r="D89" s="216">
        <f t="shared" si="23"/>
        <v>44888</v>
      </c>
      <c r="E89" s="54" t="s">
        <v>9</v>
      </c>
      <c r="F89" s="160">
        <v>9</v>
      </c>
      <c r="G89" s="197">
        <v>39</v>
      </c>
      <c r="H89" s="198">
        <f t="shared" si="25"/>
        <v>13.235929037012342</v>
      </c>
      <c r="I89" s="198">
        <f t="shared" si="20"/>
        <v>7.277381992063475</v>
      </c>
      <c r="J89" s="199">
        <f t="shared" si="2"/>
        <v>283.81789769047555</v>
      </c>
      <c r="K89" s="206">
        <f t="shared" si="11"/>
        <v>516.20123244348133</v>
      </c>
      <c r="L89" s="205">
        <f t="shared" si="24"/>
        <v>-232.38333475300578</v>
      </c>
      <c r="M89" s="202">
        <f t="shared" si="26"/>
        <v>-12.689779519181883</v>
      </c>
      <c r="N89" s="203">
        <f t="shared" si="27"/>
        <v>-245.07311427218767</v>
      </c>
      <c r="O89" s="202">
        <v>0</v>
      </c>
      <c r="P89" s="202">
        <v>0</v>
      </c>
      <c r="Q89" s="202">
        <v>0</v>
      </c>
      <c r="R89" s="203">
        <f t="shared" si="28"/>
        <v>-245.07311427218767</v>
      </c>
    </row>
    <row r="90" spans="1:18" x14ac:dyDescent="0.2">
      <c r="A90" s="160">
        <v>11</v>
      </c>
      <c r="B90" s="195">
        <f t="shared" si="4"/>
        <v>44866</v>
      </c>
      <c r="C90" s="216">
        <f t="shared" si="23"/>
        <v>44900</v>
      </c>
      <c r="D90" s="216">
        <f t="shared" si="23"/>
        <v>44918</v>
      </c>
      <c r="E90" s="54" t="s">
        <v>9</v>
      </c>
      <c r="F90" s="160">
        <v>9</v>
      </c>
      <c r="G90" s="197">
        <v>45</v>
      </c>
      <c r="H90" s="198">
        <f t="shared" si="25"/>
        <v>13.235929037012342</v>
      </c>
      <c r="I90" s="198">
        <f t="shared" si="20"/>
        <v>7.277381992063475</v>
      </c>
      <c r="J90" s="199">
        <f t="shared" si="2"/>
        <v>327.48218964285638</v>
      </c>
      <c r="K90" s="206">
        <f t="shared" si="11"/>
        <v>595.61680666555537</v>
      </c>
      <c r="L90" s="205">
        <f t="shared" si="24"/>
        <v>-268.13461702269899</v>
      </c>
      <c r="M90" s="202">
        <f t="shared" si="26"/>
        <v>-14.642053291363712</v>
      </c>
      <c r="N90" s="203">
        <f t="shared" si="27"/>
        <v>-282.7766703140627</v>
      </c>
      <c r="O90" s="202">
        <v>0</v>
      </c>
      <c r="P90" s="202">
        <v>0</v>
      </c>
      <c r="Q90" s="202">
        <v>0</v>
      </c>
      <c r="R90" s="203">
        <f t="shared" si="28"/>
        <v>-282.7766703140627</v>
      </c>
    </row>
    <row r="91" spans="1:18" s="220" customFormat="1" x14ac:dyDescent="0.2">
      <c r="A91" s="160">
        <v>12</v>
      </c>
      <c r="B91" s="218">
        <f t="shared" si="4"/>
        <v>44896</v>
      </c>
      <c r="C91" s="216">
        <f t="shared" si="23"/>
        <v>44930</v>
      </c>
      <c r="D91" s="216">
        <f t="shared" si="23"/>
        <v>44950</v>
      </c>
      <c r="E91" s="219" t="s">
        <v>9</v>
      </c>
      <c r="F91" s="171">
        <v>9</v>
      </c>
      <c r="G91" s="207">
        <v>61</v>
      </c>
      <c r="H91" s="208">
        <f t="shared" si="25"/>
        <v>13.235929037012342</v>
      </c>
      <c r="I91" s="208">
        <f t="shared" si="20"/>
        <v>7.277381992063475</v>
      </c>
      <c r="J91" s="209">
        <f t="shared" si="2"/>
        <v>443.92030151587198</v>
      </c>
      <c r="K91" s="210">
        <f t="shared" si="11"/>
        <v>807.39167125775282</v>
      </c>
      <c r="L91" s="211">
        <f t="shared" si="24"/>
        <v>-363.47136974188084</v>
      </c>
      <c r="M91" s="202">
        <f t="shared" si="26"/>
        <v>-19.848116683848584</v>
      </c>
      <c r="N91" s="203">
        <f t="shared" si="27"/>
        <v>-383.31948642572939</v>
      </c>
      <c r="O91" s="202">
        <v>0</v>
      </c>
      <c r="P91" s="202">
        <v>0</v>
      </c>
      <c r="Q91" s="202">
        <v>0</v>
      </c>
      <c r="R91" s="203">
        <f t="shared" si="28"/>
        <v>-383.31948642572939</v>
      </c>
    </row>
    <row r="92" spans="1:18" x14ac:dyDescent="0.2">
      <c r="A92" s="124">
        <v>1</v>
      </c>
      <c r="B92" s="195">
        <f t="shared" si="4"/>
        <v>44562</v>
      </c>
      <c r="C92" s="213">
        <f t="shared" ref="C92:D95" si="29">+C80</f>
        <v>44595</v>
      </c>
      <c r="D92" s="213">
        <f t="shared" si="29"/>
        <v>44615</v>
      </c>
      <c r="E92" s="196" t="s">
        <v>8</v>
      </c>
      <c r="F92" s="124">
        <v>9</v>
      </c>
      <c r="G92" s="197">
        <v>92</v>
      </c>
      <c r="H92" s="198">
        <f t="shared" si="25"/>
        <v>13.235929037012342</v>
      </c>
      <c r="I92" s="198">
        <f t="shared" si="20"/>
        <v>7.277381992063475</v>
      </c>
      <c r="J92" s="199">
        <f t="shared" si="2"/>
        <v>669.51914326983967</v>
      </c>
      <c r="K92" s="200">
        <f t="shared" si="11"/>
        <v>1217.7054714051355</v>
      </c>
      <c r="L92" s="201">
        <f t="shared" si="24"/>
        <v>-548.18632813529587</v>
      </c>
      <c r="M92" s="202">
        <f t="shared" si="26"/>
        <v>-29.934864506788031</v>
      </c>
      <c r="N92" s="203">
        <f t="shared" si="27"/>
        <v>-578.12119264208388</v>
      </c>
      <c r="O92" s="202">
        <v>0</v>
      </c>
      <c r="P92" s="202">
        <v>0</v>
      </c>
      <c r="Q92" s="202">
        <v>0</v>
      </c>
      <c r="R92" s="203">
        <f t="shared" si="28"/>
        <v>-578.12119264208388</v>
      </c>
    </row>
    <row r="93" spans="1:18" x14ac:dyDescent="0.2">
      <c r="A93" s="160">
        <v>2</v>
      </c>
      <c r="B93" s="195">
        <f t="shared" si="4"/>
        <v>44593</v>
      </c>
      <c r="C93" s="216">
        <f t="shared" si="29"/>
        <v>44623</v>
      </c>
      <c r="D93" s="216">
        <f t="shared" si="29"/>
        <v>44642</v>
      </c>
      <c r="E93" s="204" t="s">
        <v>8</v>
      </c>
      <c r="F93" s="160">
        <v>9</v>
      </c>
      <c r="G93" s="197">
        <v>88</v>
      </c>
      <c r="H93" s="198">
        <f t="shared" si="25"/>
        <v>13.235929037012342</v>
      </c>
      <c r="I93" s="198">
        <f t="shared" si="20"/>
        <v>7.277381992063475</v>
      </c>
      <c r="J93" s="199">
        <f t="shared" si="2"/>
        <v>640.40961530158575</v>
      </c>
      <c r="K93" s="200">
        <f t="shared" si="11"/>
        <v>1164.7617552570862</v>
      </c>
      <c r="L93" s="201">
        <f t="shared" si="24"/>
        <v>-524.35213995550043</v>
      </c>
      <c r="M93" s="202">
        <f t="shared" si="26"/>
        <v>-28.633348658666812</v>
      </c>
      <c r="N93" s="203">
        <f t="shared" si="27"/>
        <v>-552.98548861416725</v>
      </c>
      <c r="O93" s="202">
        <v>0</v>
      </c>
      <c r="P93" s="202">
        <v>0</v>
      </c>
      <c r="Q93" s="202">
        <v>0</v>
      </c>
      <c r="R93" s="203">
        <f t="shared" si="28"/>
        <v>-552.98548861416725</v>
      </c>
    </row>
    <row r="94" spans="1:18" x14ac:dyDescent="0.2">
      <c r="A94" s="160">
        <v>3</v>
      </c>
      <c r="B94" s="195">
        <f t="shared" si="4"/>
        <v>44621</v>
      </c>
      <c r="C94" s="216">
        <f t="shared" si="29"/>
        <v>44656</v>
      </c>
      <c r="D94" s="216">
        <f t="shared" si="29"/>
        <v>44676</v>
      </c>
      <c r="E94" s="204" t="s">
        <v>8</v>
      </c>
      <c r="F94" s="160">
        <v>9</v>
      </c>
      <c r="G94" s="197">
        <v>71</v>
      </c>
      <c r="H94" s="198">
        <f t="shared" si="25"/>
        <v>13.235929037012342</v>
      </c>
      <c r="I94" s="198">
        <f t="shared" si="20"/>
        <v>7.277381992063475</v>
      </c>
      <c r="J94" s="199">
        <f t="shared" si="2"/>
        <v>516.69412143650675</v>
      </c>
      <c r="K94" s="200">
        <f t="shared" ref="K94:K133" si="30">+$G94*H94</f>
        <v>939.75096162787634</v>
      </c>
      <c r="L94" s="201">
        <f>+J94-K94</f>
        <v>-423.05684019136959</v>
      </c>
      <c r="M94" s="202">
        <f t="shared" si="26"/>
        <v>-23.101906304151633</v>
      </c>
      <c r="N94" s="203">
        <f t="shared" si="27"/>
        <v>-446.1587464955212</v>
      </c>
      <c r="O94" s="202">
        <v>0</v>
      </c>
      <c r="P94" s="202">
        <v>0</v>
      </c>
      <c r="Q94" s="202">
        <v>0</v>
      </c>
      <c r="R94" s="203">
        <f t="shared" si="28"/>
        <v>-446.1587464955212</v>
      </c>
    </row>
    <row r="95" spans="1:18" x14ac:dyDescent="0.2">
      <c r="A95" s="124">
        <v>4</v>
      </c>
      <c r="B95" s="195">
        <f t="shared" si="4"/>
        <v>44652</v>
      </c>
      <c r="C95" s="216">
        <f t="shared" si="29"/>
        <v>44685</v>
      </c>
      <c r="D95" s="216">
        <f t="shared" si="29"/>
        <v>44705</v>
      </c>
      <c r="E95" s="204" t="s">
        <v>8</v>
      </c>
      <c r="F95" s="160">
        <v>9</v>
      </c>
      <c r="G95" s="197">
        <v>76</v>
      </c>
      <c r="H95" s="198">
        <f t="shared" si="25"/>
        <v>13.235929037012342</v>
      </c>
      <c r="I95" s="198">
        <f t="shared" si="20"/>
        <v>7.277381992063475</v>
      </c>
      <c r="J95" s="199">
        <f t="shared" si="2"/>
        <v>553.08103139682407</v>
      </c>
      <c r="K95" s="200">
        <f t="shared" si="30"/>
        <v>1005.930606812938</v>
      </c>
      <c r="L95" s="201">
        <f t="shared" ref="L95:L105" si="31">+J95-K95</f>
        <v>-452.84957541611391</v>
      </c>
      <c r="M95" s="202">
        <f t="shared" si="26"/>
        <v>-24.728801114303156</v>
      </c>
      <c r="N95" s="203">
        <f t="shared" si="27"/>
        <v>-477.57837653041707</v>
      </c>
      <c r="O95" s="202">
        <v>0</v>
      </c>
      <c r="P95" s="202">
        <v>0</v>
      </c>
      <c r="Q95" s="202">
        <v>0</v>
      </c>
      <c r="R95" s="203">
        <f t="shared" si="28"/>
        <v>-477.57837653041707</v>
      </c>
    </row>
    <row r="96" spans="1:18" x14ac:dyDescent="0.2">
      <c r="A96" s="160">
        <v>5</v>
      </c>
      <c r="B96" s="195">
        <f t="shared" si="4"/>
        <v>44682</v>
      </c>
      <c r="C96" s="216">
        <f t="shared" ref="C96:D116" si="32">+C84</f>
        <v>44715</v>
      </c>
      <c r="D96" s="216">
        <f t="shared" si="32"/>
        <v>44735</v>
      </c>
      <c r="E96" s="54" t="s">
        <v>8</v>
      </c>
      <c r="F96" s="160">
        <v>9</v>
      </c>
      <c r="G96" s="197">
        <v>134</v>
      </c>
      <c r="H96" s="198">
        <f t="shared" si="25"/>
        <v>13.235929037012342</v>
      </c>
      <c r="I96" s="198">
        <f t="shared" si="20"/>
        <v>7.277381992063475</v>
      </c>
      <c r="J96" s="199">
        <f t="shared" si="2"/>
        <v>975.16918693650564</v>
      </c>
      <c r="K96" s="200">
        <f t="shared" si="30"/>
        <v>1773.6144909596539</v>
      </c>
      <c r="L96" s="201">
        <f t="shared" si="31"/>
        <v>-798.44530402314831</v>
      </c>
      <c r="M96" s="202">
        <f t="shared" si="26"/>
        <v>-43.600780912060827</v>
      </c>
      <c r="N96" s="203">
        <f t="shared" si="27"/>
        <v>-842.04608493520914</v>
      </c>
      <c r="O96" s="202">
        <v>0</v>
      </c>
      <c r="P96" s="202">
        <v>0</v>
      </c>
      <c r="Q96" s="202">
        <v>0</v>
      </c>
      <c r="R96" s="203">
        <f t="shared" si="28"/>
        <v>-842.04608493520914</v>
      </c>
    </row>
    <row r="97" spans="1:18" x14ac:dyDescent="0.2">
      <c r="A97" s="160">
        <v>6</v>
      </c>
      <c r="B97" s="195">
        <f t="shared" si="4"/>
        <v>44713</v>
      </c>
      <c r="C97" s="216">
        <f t="shared" si="32"/>
        <v>44747</v>
      </c>
      <c r="D97" s="216">
        <f t="shared" si="32"/>
        <v>44767</v>
      </c>
      <c r="E97" s="54" t="s">
        <v>8</v>
      </c>
      <c r="F97" s="160">
        <v>9</v>
      </c>
      <c r="G97" s="197">
        <v>145</v>
      </c>
      <c r="H97" s="198">
        <f t="shared" si="25"/>
        <v>13.235929037012342</v>
      </c>
      <c r="I97" s="198">
        <f t="shared" si="20"/>
        <v>7.277381992063475</v>
      </c>
      <c r="J97" s="199">
        <f t="shared" si="2"/>
        <v>1055.2203888492038</v>
      </c>
      <c r="K97" s="200">
        <f t="shared" si="30"/>
        <v>1919.2097103667895</v>
      </c>
      <c r="L97" s="205">
        <f t="shared" si="31"/>
        <v>-863.98932151758572</v>
      </c>
      <c r="M97" s="202">
        <f t="shared" si="26"/>
        <v>-47.17994949439418</v>
      </c>
      <c r="N97" s="203">
        <f t="shared" si="27"/>
        <v>-911.16927101197984</v>
      </c>
      <c r="O97" s="202">
        <v>0</v>
      </c>
      <c r="P97" s="202">
        <v>0</v>
      </c>
      <c r="Q97" s="202">
        <v>0</v>
      </c>
      <c r="R97" s="203">
        <f t="shared" si="28"/>
        <v>-911.16927101197984</v>
      </c>
    </row>
    <row r="98" spans="1:18" x14ac:dyDescent="0.2">
      <c r="A98" s="124">
        <v>7</v>
      </c>
      <c r="B98" s="195">
        <f t="shared" si="4"/>
        <v>44743</v>
      </c>
      <c r="C98" s="216">
        <f t="shared" si="32"/>
        <v>44776</v>
      </c>
      <c r="D98" s="216">
        <f t="shared" si="32"/>
        <v>44796</v>
      </c>
      <c r="E98" s="54" t="s">
        <v>8</v>
      </c>
      <c r="F98" s="160">
        <v>9</v>
      </c>
      <c r="G98" s="197">
        <v>161</v>
      </c>
      <c r="H98" s="198">
        <f t="shared" si="25"/>
        <v>13.235929037012342</v>
      </c>
      <c r="I98" s="198">
        <f t="shared" si="20"/>
        <v>7.277381992063475</v>
      </c>
      <c r="J98" s="199">
        <f t="shared" si="2"/>
        <v>1171.6585007222195</v>
      </c>
      <c r="K98" s="206">
        <f t="shared" si="30"/>
        <v>2130.9845749589872</v>
      </c>
      <c r="L98" s="205">
        <f t="shared" si="31"/>
        <v>-959.32607423676768</v>
      </c>
      <c r="M98" s="202">
        <f t="shared" si="26"/>
        <v>-52.386012886879051</v>
      </c>
      <c r="N98" s="203">
        <f t="shared" si="27"/>
        <v>-1011.7120871236467</v>
      </c>
      <c r="O98" s="202">
        <v>0</v>
      </c>
      <c r="P98" s="202">
        <v>0</v>
      </c>
      <c r="Q98" s="202">
        <v>0</v>
      </c>
      <c r="R98" s="203">
        <f t="shared" si="28"/>
        <v>-1011.7120871236467</v>
      </c>
    </row>
    <row r="99" spans="1:18" x14ac:dyDescent="0.2">
      <c r="A99" s="160">
        <v>8</v>
      </c>
      <c r="B99" s="195">
        <f t="shared" si="4"/>
        <v>44774</v>
      </c>
      <c r="C99" s="216">
        <f t="shared" si="32"/>
        <v>44809</v>
      </c>
      <c r="D99" s="216">
        <f t="shared" si="32"/>
        <v>44827</v>
      </c>
      <c r="E99" s="54" t="s">
        <v>8</v>
      </c>
      <c r="F99" s="160">
        <v>9</v>
      </c>
      <c r="G99" s="197">
        <v>154</v>
      </c>
      <c r="H99" s="198">
        <f t="shared" si="25"/>
        <v>13.235929037012342</v>
      </c>
      <c r="I99" s="198">
        <f t="shared" si="20"/>
        <v>7.277381992063475</v>
      </c>
      <c r="J99" s="199">
        <f t="shared" si="2"/>
        <v>1120.7168267777752</v>
      </c>
      <c r="K99" s="206">
        <f t="shared" si="30"/>
        <v>2038.3330716999008</v>
      </c>
      <c r="L99" s="205">
        <f t="shared" si="31"/>
        <v>-917.61624492212559</v>
      </c>
      <c r="M99" s="202">
        <f t="shared" si="26"/>
        <v>-50.108360152666926</v>
      </c>
      <c r="N99" s="203">
        <f t="shared" si="27"/>
        <v>-967.72460507479252</v>
      </c>
      <c r="O99" s="202">
        <v>0</v>
      </c>
      <c r="P99" s="202">
        <v>0</v>
      </c>
      <c r="Q99" s="202">
        <v>0</v>
      </c>
      <c r="R99" s="203">
        <f t="shared" si="28"/>
        <v>-967.72460507479252</v>
      </c>
    </row>
    <row r="100" spans="1:18" x14ac:dyDescent="0.2">
      <c r="A100" s="160">
        <v>9</v>
      </c>
      <c r="B100" s="195">
        <f t="shared" si="4"/>
        <v>44805</v>
      </c>
      <c r="C100" s="216">
        <f t="shared" si="32"/>
        <v>44839</v>
      </c>
      <c r="D100" s="216">
        <f t="shared" si="32"/>
        <v>44859</v>
      </c>
      <c r="E100" s="54" t="s">
        <v>8</v>
      </c>
      <c r="F100" s="160">
        <v>9</v>
      </c>
      <c r="G100" s="197">
        <v>132</v>
      </c>
      <c r="H100" s="198">
        <f t="shared" si="25"/>
        <v>13.235929037012342</v>
      </c>
      <c r="I100" s="198">
        <f t="shared" si="20"/>
        <v>7.277381992063475</v>
      </c>
      <c r="J100" s="199">
        <f t="shared" si="2"/>
        <v>960.61442295237873</v>
      </c>
      <c r="K100" s="206">
        <f t="shared" si="30"/>
        <v>1747.1426328856292</v>
      </c>
      <c r="L100" s="205">
        <f t="shared" si="31"/>
        <v>-786.52820993325042</v>
      </c>
      <c r="M100" s="202">
        <f t="shared" si="26"/>
        <v>-42.950022988000221</v>
      </c>
      <c r="N100" s="203">
        <f t="shared" si="27"/>
        <v>-829.47823292125065</v>
      </c>
      <c r="O100" s="202">
        <v>0</v>
      </c>
      <c r="P100" s="202">
        <v>0</v>
      </c>
      <c r="Q100" s="202">
        <v>0</v>
      </c>
      <c r="R100" s="203">
        <f t="shared" si="28"/>
        <v>-829.47823292125065</v>
      </c>
    </row>
    <row r="101" spans="1:18" x14ac:dyDescent="0.2">
      <c r="A101" s="124">
        <v>10</v>
      </c>
      <c r="B101" s="195">
        <f t="shared" si="4"/>
        <v>44835</v>
      </c>
      <c r="C101" s="216">
        <f t="shared" si="32"/>
        <v>44868</v>
      </c>
      <c r="D101" s="216">
        <f t="shared" si="32"/>
        <v>44888</v>
      </c>
      <c r="E101" s="54" t="s">
        <v>8</v>
      </c>
      <c r="F101" s="160">
        <v>9</v>
      </c>
      <c r="G101" s="197">
        <v>91</v>
      </c>
      <c r="H101" s="198">
        <f t="shared" si="25"/>
        <v>13.235929037012342</v>
      </c>
      <c r="I101" s="198">
        <f t="shared" si="20"/>
        <v>7.277381992063475</v>
      </c>
      <c r="J101" s="199">
        <f t="shared" si="2"/>
        <v>662.24176127777628</v>
      </c>
      <c r="K101" s="206">
        <f t="shared" si="30"/>
        <v>1204.469542368123</v>
      </c>
      <c r="L101" s="205">
        <f t="shared" si="31"/>
        <v>-542.22778109034675</v>
      </c>
      <c r="M101" s="202">
        <f t="shared" si="26"/>
        <v>-29.609485544757725</v>
      </c>
      <c r="N101" s="203">
        <f t="shared" si="27"/>
        <v>-571.83726663510447</v>
      </c>
      <c r="O101" s="202">
        <v>0</v>
      </c>
      <c r="P101" s="202">
        <v>0</v>
      </c>
      <c r="Q101" s="202">
        <v>0</v>
      </c>
      <c r="R101" s="203">
        <f t="shared" si="28"/>
        <v>-571.83726663510447</v>
      </c>
    </row>
    <row r="102" spans="1:18" x14ac:dyDescent="0.2">
      <c r="A102" s="160">
        <v>11</v>
      </c>
      <c r="B102" s="195">
        <f t="shared" si="4"/>
        <v>44866</v>
      </c>
      <c r="C102" s="216">
        <f t="shared" si="32"/>
        <v>44900</v>
      </c>
      <c r="D102" s="216">
        <f t="shared" si="32"/>
        <v>44918</v>
      </c>
      <c r="E102" s="54" t="s">
        <v>8</v>
      </c>
      <c r="F102" s="160">
        <v>9</v>
      </c>
      <c r="G102" s="197">
        <v>67</v>
      </c>
      <c r="H102" s="198">
        <f t="shared" si="25"/>
        <v>13.235929037012342</v>
      </c>
      <c r="I102" s="198">
        <f t="shared" si="20"/>
        <v>7.277381992063475</v>
      </c>
      <c r="J102" s="199">
        <f t="shared" si="2"/>
        <v>487.58459346825282</v>
      </c>
      <c r="K102" s="206">
        <f t="shared" si="30"/>
        <v>886.80724547982697</v>
      </c>
      <c r="L102" s="205">
        <f t="shared" si="31"/>
        <v>-399.22265201157416</v>
      </c>
      <c r="M102" s="202">
        <f t="shared" si="26"/>
        <v>-21.800390456030414</v>
      </c>
      <c r="N102" s="203">
        <f t="shared" si="27"/>
        <v>-421.02304246760457</v>
      </c>
      <c r="O102" s="202">
        <v>0</v>
      </c>
      <c r="P102" s="202">
        <v>0</v>
      </c>
      <c r="Q102" s="202">
        <v>0</v>
      </c>
      <c r="R102" s="203">
        <f t="shared" si="28"/>
        <v>-421.02304246760457</v>
      </c>
    </row>
    <row r="103" spans="1:18" s="220" customFormat="1" x14ac:dyDescent="0.2">
      <c r="A103" s="160">
        <v>12</v>
      </c>
      <c r="B103" s="218">
        <f t="shared" si="4"/>
        <v>44896</v>
      </c>
      <c r="C103" s="216">
        <f t="shared" si="32"/>
        <v>44930</v>
      </c>
      <c r="D103" s="216">
        <f t="shared" si="32"/>
        <v>44950</v>
      </c>
      <c r="E103" s="219" t="s">
        <v>8</v>
      </c>
      <c r="F103" s="171">
        <v>9</v>
      </c>
      <c r="G103" s="207">
        <v>96</v>
      </c>
      <c r="H103" s="208">
        <f t="shared" si="25"/>
        <v>13.235929037012342</v>
      </c>
      <c r="I103" s="208">
        <f t="shared" si="20"/>
        <v>7.277381992063475</v>
      </c>
      <c r="J103" s="209">
        <f t="shared" si="2"/>
        <v>698.6286712380936</v>
      </c>
      <c r="K103" s="210">
        <f t="shared" si="30"/>
        <v>1270.6491875531849</v>
      </c>
      <c r="L103" s="211">
        <f t="shared" si="31"/>
        <v>-572.0205163150913</v>
      </c>
      <c r="M103" s="202">
        <f t="shared" si="26"/>
        <v>-31.236380354909251</v>
      </c>
      <c r="N103" s="203">
        <f t="shared" si="27"/>
        <v>-603.25689667000051</v>
      </c>
      <c r="O103" s="202">
        <v>0</v>
      </c>
      <c r="P103" s="202">
        <v>0</v>
      </c>
      <c r="Q103" s="202">
        <v>0</v>
      </c>
      <c r="R103" s="203">
        <f t="shared" si="28"/>
        <v>-603.25689667000051</v>
      </c>
    </row>
    <row r="104" spans="1:18" x14ac:dyDescent="0.2">
      <c r="A104" s="124">
        <v>1</v>
      </c>
      <c r="B104" s="195">
        <f t="shared" si="4"/>
        <v>44562</v>
      </c>
      <c r="C104" s="213">
        <f t="shared" si="32"/>
        <v>44595</v>
      </c>
      <c r="D104" s="213">
        <f t="shared" si="32"/>
        <v>44615</v>
      </c>
      <c r="E104" s="196" t="s">
        <v>19</v>
      </c>
      <c r="F104" s="124">
        <v>9</v>
      </c>
      <c r="G104" s="197">
        <v>42</v>
      </c>
      <c r="H104" s="198">
        <f t="shared" si="25"/>
        <v>13.235929037012342</v>
      </c>
      <c r="I104" s="198">
        <f t="shared" si="20"/>
        <v>7.277381992063475</v>
      </c>
      <c r="J104" s="199">
        <f t="shared" si="2"/>
        <v>305.65004366666597</v>
      </c>
      <c r="K104" s="200">
        <f t="shared" si="30"/>
        <v>555.90901955451841</v>
      </c>
      <c r="L104" s="201">
        <f t="shared" si="31"/>
        <v>-250.25897588785244</v>
      </c>
      <c r="M104" s="202">
        <f t="shared" si="26"/>
        <v>-13.665916405272798</v>
      </c>
      <c r="N104" s="203">
        <f t="shared" si="27"/>
        <v>-263.92489229312525</v>
      </c>
      <c r="O104" s="202">
        <v>0</v>
      </c>
      <c r="P104" s="202">
        <v>0</v>
      </c>
      <c r="Q104" s="202">
        <v>0</v>
      </c>
      <c r="R104" s="203">
        <f t="shared" si="28"/>
        <v>-263.92489229312525</v>
      </c>
    </row>
    <row r="105" spans="1:18" x14ac:dyDescent="0.2">
      <c r="A105" s="160">
        <v>2</v>
      </c>
      <c r="B105" s="195">
        <f t="shared" si="4"/>
        <v>44593</v>
      </c>
      <c r="C105" s="216">
        <f t="shared" si="32"/>
        <v>44623</v>
      </c>
      <c r="D105" s="216">
        <f t="shared" si="32"/>
        <v>44642</v>
      </c>
      <c r="E105" s="204" t="s">
        <v>19</v>
      </c>
      <c r="F105" s="160">
        <v>9</v>
      </c>
      <c r="G105" s="197">
        <v>43</v>
      </c>
      <c r="H105" s="198">
        <f t="shared" si="25"/>
        <v>13.235929037012342</v>
      </c>
      <c r="I105" s="198">
        <f t="shared" si="20"/>
        <v>7.277381992063475</v>
      </c>
      <c r="J105" s="199">
        <f t="shared" si="2"/>
        <v>312.92742565872942</v>
      </c>
      <c r="K105" s="200">
        <f t="shared" si="30"/>
        <v>569.14494859153069</v>
      </c>
      <c r="L105" s="201">
        <f t="shared" si="31"/>
        <v>-256.21752293280127</v>
      </c>
      <c r="M105" s="202">
        <f t="shared" si="26"/>
        <v>-13.991295367303103</v>
      </c>
      <c r="N105" s="203">
        <f t="shared" si="27"/>
        <v>-270.20881830010438</v>
      </c>
      <c r="O105" s="202">
        <v>0</v>
      </c>
      <c r="P105" s="202">
        <v>0</v>
      </c>
      <c r="Q105" s="202">
        <v>0</v>
      </c>
      <c r="R105" s="203">
        <f t="shared" si="28"/>
        <v>-270.20881830010438</v>
      </c>
    </row>
    <row r="106" spans="1:18" x14ac:dyDescent="0.2">
      <c r="A106" s="160">
        <v>3</v>
      </c>
      <c r="B106" s="195">
        <f t="shared" si="4"/>
        <v>44621</v>
      </c>
      <c r="C106" s="216">
        <f t="shared" si="32"/>
        <v>44656</v>
      </c>
      <c r="D106" s="216">
        <f t="shared" si="32"/>
        <v>44676</v>
      </c>
      <c r="E106" s="204" t="s">
        <v>19</v>
      </c>
      <c r="F106" s="160">
        <v>9</v>
      </c>
      <c r="G106" s="197">
        <v>42</v>
      </c>
      <c r="H106" s="198">
        <f t="shared" si="25"/>
        <v>13.235929037012342</v>
      </c>
      <c r="I106" s="198">
        <f t="shared" si="20"/>
        <v>7.277381992063475</v>
      </c>
      <c r="J106" s="199">
        <f t="shared" si="2"/>
        <v>305.65004366666597</v>
      </c>
      <c r="K106" s="200">
        <f t="shared" si="30"/>
        <v>555.90901955451841</v>
      </c>
      <c r="L106" s="201">
        <f>+J106-K106</f>
        <v>-250.25897588785244</v>
      </c>
      <c r="M106" s="202">
        <f t="shared" si="26"/>
        <v>-13.665916405272798</v>
      </c>
      <c r="N106" s="203">
        <f t="shared" si="27"/>
        <v>-263.92489229312525</v>
      </c>
      <c r="O106" s="202">
        <v>0</v>
      </c>
      <c r="P106" s="202">
        <v>0</v>
      </c>
      <c r="Q106" s="202">
        <v>0</v>
      </c>
      <c r="R106" s="203">
        <f t="shared" si="28"/>
        <v>-263.92489229312525</v>
      </c>
    </row>
    <row r="107" spans="1:18" x14ac:dyDescent="0.2">
      <c r="A107" s="124">
        <v>4</v>
      </c>
      <c r="B107" s="195">
        <f t="shared" si="4"/>
        <v>44652</v>
      </c>
      <c r="C107" s="216">
        <f t="shared" si="32"/>
        <v>44685</v>
      </c>
      <c r="D107" s="216">
        <f t="shared" si="32"/>
        <v>44705</v>
      </c>
      <c r="E107" s="54" t="s">
        <v>19</v>
      </c>
      <c r="F107" s="160">
        <v>9</v>
      </c>
      <c r="G107" s="197">
        <v>52</v>
      </c>
      <c r="H107" s="198">
        <f t="shared" si="25"/>
        <v>13.235929037012342</v>
      </c>
      <c r="I107" s="198">
        <f t="shared" si="20"/>
        <v>7.277381992063475</v>
      </c>
      <c r="J107" s="199">
        <f t="shared" si="2"/>
        <v>378.42386358730073</v>
      </c>
      <c r="K107" s="200">
        <f t="shared" si="30"/>
        <v>688.26830992464181</v>
      </c>
      <c r="L107" s="201">
        <f t="shared" ref="L107:L115" si="33">+J107-K107</f>
        <v>-309.84444633734108</v>
      </c>
      <c r="M107" s="202">
        <f t="shared" si="26"/>
        <v>-16.919706025575845</v>
      </c>
      <c r="N107" s="203">
        <f t="shared" si="27"/>
        <v>-326.76415236291695</v>
      </c>
      <c r="O107" s="202">
        <v>0</v>
      </c>
      <c r="P107" s="202">
        <v>0</v>
      </c>
      <c r="Q107" s="202">
        <v>0</v>
      </c>
      <c r="R107" s="203">
        <f t="shared" si="28"/>
        <v>-326.76415236291695</v>
      </c>
    </row>
    <row r="108" spans="1:18" x14ac:dyDescent="0.2">
      <c r="A108" s="160">
        <v>5</v>
      </c>
      <c r="B108" s="195">
        <f t="shared" si="4"/>
        <v>44682</v>
      </c>
      <c r="C108" s="216">
        <f t="shared" si="32"/>
        <v>44715</v>
      </c>
      <c r="D108" s="216">
        <f t="shared" si="32"/>
        <v>44735</v>
      </c>
      <c r="E108" s="54" t="s">
        <v>19</v>
      </c>
      <c r="F108" s="160">
        <v>9</v>
      </c>
      <c r="G108" s="197">
        <v>52</v>
      </c>
      <c r="H108" s="198">
        <f t="shared" si="25"/>
        <v>13.235929037012342</v>
      </c>
      <c r="I108" s="198">
        <f t="shared" ref="I108:I127" si="34">$J$3</f>
        <v>7.277381992063475</v>
      </c>
      <c r="J108" s="199">
        <f t="shared" si="2"/>
        <v>378.42386358730073</v>
      </c>
      <c r="K108" s="200">
        <f t="shared" si="30"/>
        <v>688.26830992464181</v>
      </c>
      <c r="L108" s="201">
        <f t="shared" si="33"/>
        <v>-309.84444633734108</v>
      </c>
      <c r="M108" s="202">
        <f t="shared" si="26"/>
        <v>-16.919706025575845</v>
      </c>
      <c r="N108" s="203">
        <f t="shared" si="27"/>
        <v>-326.76415236291695</v>
      </c>
      <c r="O108" s="202">
        <v>0</v>
      </c>
      <c r="P108" s="202">
        <v>0</v>
      </c>
      <c r="Q108" s="202">
        <v>0</v>
      </c>
      <c r="R108" s="203">
        <f t="shared" si="28"/>
        <v>-326.76415236291695</v>
      </c>
    </row>
    <row r="109" spans="1:18" x14ac:dyDescent="0.2">
      <c r="A109" s="160">
        <v>6</v>
      </c>
      <c r="B109" s="195">
        <f t="shared" ref="B109:B148" si="35">DATE($R$1,A109,1)</f>
        <v>44713</v>
      </c>
      <c r="C109" s="216">
        <f t="shared" si="32"/>
        <v>44747</v>
      </c>
      <c r="D109" s="216">
        <f t="shared" si="32"/>
        <v>44767</v>
      </c>
      <c r="E109" s="54" t="s">
        <v>19</v>
      </c>
      <c r="F109" s="160">
        <v>9</v>
      </c>
      <c r="G109" s="197">
        <v>56</v>
      </c>
      <c r="H109" s="198">
        <f t="shared" si="25"/>
        <v>13.235929037012342</v>
      </c>
      <c r="I109" s="198">
        <f t="shared" si="34"/>
        <v>7.277381992063475</v>
      </c>
      <c r="J109" s="199">
        <f t="shared" ref="J109:J148" si="36">+$G109*I109</f>
        <v>407.5333915555546</v>
      </c>
      <c r="K109" s="200">
        <f t="shared" si="30"/>
        <v>741.21202607269117</v>
      </c>
      <c r="L109" s="205">
        <f t="shared" si="33"/>
        <v>-333.67863451713657</v>
      </c>
      <c r="M109" s="202">
        <f t="shared" si="26"/>
        <v>-18.221221873697061</v>
      </c>
      <c r="N109" s="203">
        <f t="shared" si="27"/>
        <v>-351.89985639083363</v>
      </c>
      <c r="O109" s="202">
        <v>0</v>
      </c>
      <c r="P109" s="202">
        <v>0</v>
      </c>
      <c r="Q109" s="202">
        <v>0</v>
      </c>
      <c r="R109" s="203">
        <f t="shared" si="28"/>
        <v>-351.89985639083363</v>
      </c>
    </row>
    <row r="110" spans="1:18" x14ac:dyDescent="0.2">
      <c r="A110" s="124">
        <v>7</v>
      </c>
      <c r="B110" s="195">
        <f t="shared" si="35"/>
        <v>44743</v>
      </c>
      <c r="C110" s="216">
        <f t="shared" si="32"/>
        <v>44776</v>
      </c>
      <c r="D110" s="216">
        <f t="shared" si="32"/>
        <v>44796</v>
      </c>
      <c r="E110" s="54" t="s">
        <v>19</v>
      </c>
      <c r="F110" s="160">
        <v>9</v>
      </c>
      <c r="G110" s="197">
        <v>58</v>
      </c>
      <c r="H110" s="198">
        <f t="shared" si="25"/>
        <v>13.235929037012342</v>
      </c>
      <c r="I110" s="198">
        <f t="shared" si="34"/>
        <v>7.277381992063475</v>
      </c>
      <c r="J110" s="199">
        <f t="shared" si="36"/>
        <v>422.08815553968157</v>
      </c>
      <c r="K110" s="206">
        <f t="shared" si="30"/>
        <v>767.68388414671585</v>
      </c>
      <c r="L110" s="205">
        <f t="shared" si="33"/>
        <v>-345.59572860703429</v>
      </c>
      <c r="M110" s="202">
        <f t="shared" si="26"/>
        <v>-18.871979797757671</v>
      </c>
      <c r="N110" s="203">
        <f t="shared" si="27"/>
        <v>-364.46770840479195</v>
      </c>
      <c r="O110" s="202">
        <v>0</v>
      </c>
      <c r="P110" s="202">
        <v>0</v>
      </c>
      <c r="Q110" s="202">
        <v>0</v>
      </c>
      <c r="R110" s="203">
        <f t="shared" si="28"/>
        <v>-364.46770840479195</v>
      </c>
    </row>
    <row r="111" spans="1:18" x14ac:dyDescent="0.2">
      <c r="A111" s="160">
        <v>8</v>
      </c>
      <c r="B111" s="195">
        <f t="shared" si="35"/>
        <v>44774</v>
      </c>
      <c r="C111" s="216">
        <f t="shared" si="32"/>
        <v>44809</v>
      </c>
      <c r="D111" s="216">
        <f t="shared" si="32"/>
        <v>44827</v>
      </c>
      <c r="E111" s="54" t="s">
        <v>19</v>
      </c>
      <c r="F111" s="160">
        <v>9</v>
      </c>
      <c r="G111" s="197">
        <v>60</v>
      </c>
      <c r="H111" s="198">
        <f t="shared" si="25"/>
        <v>13.235929037012342</v>
      </c>
      <c r="I111" s="198">
        <f t="shared" si="34"/>
        <v>7.277381992063475</v>
      </c>
      <c r="J111" s="199">
        <f t="shared" si="36"/>
        <v>436.64291952380847</v>
      </c>
      <c r="K111" s="206">
        <f t="shared" si="30"/>
        <v>794.15574222074054</v>
      </c>
      <c r="L111" s="205">
        <f t="shared" si="33"/>
        <v>-357.51282269693206</v>
      </c>
      <c r="M111" s="202">
        <f t="shared" si="26"/>
        <v>-19.522737721818281</v>
      </c>
      <c r="N111" s="203">
        <f t="shared" si="27"/>
        <v>-377.03556041875032</v>
      </c>
      <c r="O111" s="202">
        <v>0</v>
      </c>
      <c r="P111" s="202">
        <v>0</v>
      </c>
      <c r="Q111" s="202">
        <v>0</v>
      </c>
      <c r="R111" s="203">
        <f t="shared" si="28"/>
        <v>-377.03556041875032</v>
      </c>
    </row>
    <row r="112" spans="1:18" x14ac:dyDescent="0.2">
      <c r="A112" s="160">
        <v>9</v>
      </c>
      <c r="B112" s="195">
        <f t="shared" si="35"/>
        <v>44805</v>
      </c>
      <c r="C112" s="216">
        <f t="shared" si="32"/>
        <v>44839</v>
      </c>
      <c r="D112" s="216">
        <f t="shared" si="32"/>
        <v>44859</v>
      </c>
      <c r="E112" s="54" t="s">
        <v>19</v>
      </c>
      <c r="F112" s="160">
        <v>9</v>
      </c>
      <c r="G112" s="197">
        <v>58</v>
      </c>
      <c r="H112" s="198">
        <f t="shared" si="25"/>
        <v>13.235929037012342</v>
      </c>
      <c r="I112" s="198">
        <f t="shared" si="34"/>
        <v>7.277381992063475</v>
      </c>
      <c r="J112" s="199">
        <f t="shared" si="36"/>
        <v>422.08815553968157</v>
      </c>
      <c r="K112" s="206">
        <f t="shared" si="30"/>
        <v>767.68388414671585</v>
      </c>
      <c r="L112" s="205">
        <f t="shared" si="33"/>
        <v>-345.59572860703429</v>
      </c>
      <c r="M112" s="202">
        <f t="shared" si="26"/>
        <v>-18.871979797757671</v>
      </c>
      <c r="N112" s="203">
        <f t="shared" si="27"/>
        <v>-364.46770840479195</v>
      </c>
      <c r="O112" s="202">
        <v>0</v>
      </c>
      <c r="P112" s="202">
        <v>0</v>
      </c>
      <c r="Q112" s="202">
        <v>0</v>
      </c>
      <c r="R112" s="203">
        <f t="shared" si="28"/>
        <v>-364.46770840479195</v>
      </c>
    </row>
    <row r="113" spans="1:18" x14ac:dyDescent="0.2">
      <c r="A113" s="124">
        <v>10</v>
      </c>
      <c r="B113" s="195">
        <f t="shared" si="35"/>
        <v>44835</v>
      </c>
      <c r="C113" s="216">
        <f t="shared" si="32"/>
        <v>44868</v>
      </c>
      <c r="D113" s="216">
        <f t="shared" si="32"/>
        <v>44888</v>
      </c>
      <c r="E113" s="54" t="s">
        <v>19</v>
      </c>
      <c r="F113" s="160">
        <v>9</v>
      </c>
      <c r="G113" s="197">
        <v>56</v>
      </c>
      <c r="H113" s="198">
        <f t="shared" si="25"/>
        <v>13.235929037012342</v>
      </c>
      <c r="I113" s="198">
        <f t="shared" si="34"/>
        <v>7.277381992063475</v>
      </c>
      <c r="J113" s="199">
        <f t="shared" si="36"/>
        <v>407.5333915555546</v>
      </c>
      <c r="K113" s="206">
        <f t="shared" si="30"/>
        <v>741.21202607269117</v>
      </c>
      <c r="L113" s="205">
        <f t="shared" si="33"/>
        <v>-333.67863451713657</v>
      </c>
      <c r="M113" s="202">
        <f t="shared" si="26"/>
        <v>-18.221221873697061</v>
      </c>
      <c r="N113" s="203">
        <f t="shared" si="27"/>
        <v>-351.89985639083363</v>
      </c>
      <c r="O113" s="202">
        <v>0</v>
      </c>
      <c r="P113" s="202">
        <v>0</v>
      </c>
      <c r="Q113" s="202">
        <v>0</v>
      </c>
      <c r="R113" s="203">
        <f t="shared" si="28"/>
        <v>-351.89985639083363</v>
      </c>
    </row>
    <row r="114" spans="1:18" x14ac:dyDescent="0.2">
      <c r="A114" s="160">
        <v>11</v>
      </c>
      <c r="B114" s="195">
        <f t="shared" si="35"/>
        <v>44866</v>
      </c>
      <c r="C114" s="216">
        <f t="shared" si="32"/>
        <v>44900</v>
      </c>
      <c r="D114" s="216">
        <f t="shared" si="32"/>
        <v>44918</v>
      </c>
      <c r="E114" s="54" t="s">
        <v>19</v>
      </c>
      <c r="F114" s="160">
        <v>9</v>
      </c>
      <c r="G114" s="197">
        <v>59</v>
      </c>
      <c r="H114" s="198">
        <f t="shared" si="25"/>
        <v>13.235929037012342</v>
      </c>
      <c r="I114" s="198">
        <f t="shared" si="34"/>
        <v>7.277381992063475</v>
      </c>
      <c r="J114" s="199">
        <f t="shared" si="36"/>
        <v>429.36553753174502</v>
      </c>
      <c r="K114" s="206">
        <f t="shared" si="30"/>
        <v>780.91981318372814</v>
      </c>
      <c r="L114" s="205">
        <f t="shared" si="33"/>
        <v>-351.55427565198312</v>
      </c>
      <c r="M114" s="202">
        <f t="shared" si="26"/>
        <v>-19.197358759787978</v>
      </c>
      <c r="N114" s="203">
        <f t="shared" si="27"/>
        <v>-370.75163441177108</v>
      </c>
      <c r="O114" s="202">
        <v>0</v>
      </c>
      <c r="P114" s="202">
        <v>0</v>
      </c>
      <c r="Q114" s="202">
        <v>0</v>
      </c>
      <c r="R114" s="203">
        <f t="shared" si="28"/>
        <v>-370.75163441177108</v>
      </c>
    </row>
    <row r="115" spans="1:18" s="220" customFormat="1" x14ac:dyDescent="0.2">
      <c r="A115" s="160">
        <v>12</v>
      </c>
      <c r="B115" s="218">
        <f t="shared" si="35"/>
        <v>44896</v>
      </c>
      <c r="C115" s="221">
        <f t="shared" si="32"/>
        <v>44930</v>
      </c>
      <c r="D115" s="221">
        <f t="shared" si="32"/>
        <v>44950</v>
      </c>
      <c r="E115" s="219" t="s">
        <v>19</v>
      </c>
      <c r="F115" s="171">
        <v>9</v>
      </c>
      <c r="G115" s="207">
        <v>58</v>
      </c>
      <c r="H115" s="208">
        <f t="shared" si="25"/>
        <v>13.235929037012342</v>
      </c>
      <c r="I115" s="208">
        <f t="shared" si="34"/>
        <v>7.277381992063475</v>
      </c>
      <c r="J115" s="209">
        <f t="shared" si="36"/>
        <v>422.08815553968157</v>
      </c>
      <c r="K115" s="210">
        <f t="shared" si="30"/>
        <v>767.68388414671585</v>
      </c>
      <c r="L115" s="211">
        <f t="shared" si="33"/>
        <v>-345.59572860703429</v>
      </c>
      <c r="M115" s="202">
        <f t="shared" si="26"/>
        <v>-18.871979797757671</v>
      </c>
      <c r="N115" s="203">
        <f t="shared" si="27"/>
        <v>-364.46770840479195</v>
      </c>
      <c r="O115" s="202">
        <v>0</v>
      </c>
      <c r="P115" s="202">
        <v>0</v>
      </c>
      <c r="Q115" s="202">
        <v>0</v>
      </c>
      <c r="R115" s="203">
        <f t="shared" si="28"/>
        <v>-364.46770840479195</v>
      </c>
    </row>
    <row r="116" spans="1:18" x14ac:dyDescent="0.2">
      <c r="A116" s="124">
        <v>1</v>
      </c>
      <c r="B116" s="195">
        <f t="shared" si="35"/>
        <v>44562</v>
      </c>
      <c r="C116" s="216">
        <f t="shared" si="32"/>
        <v>44595</v>
      </c>
      <c r="D116" s="216">
        <f t="shared" si="32"/>
        <v>44615</v>
      </c>
      <c r="E116" s="196" t="s">
        <v>13</v>
      </c>
      <c r="F116" s="124">
        <v>9</v>
      </c>
      <c r="G116" s="197">
        <v>1045</v>
      </c>
      <c r="H116" s="198">
        <f t="shared" si="25"/>
        <v>13.235929037012342</v>
      </c>
      <c r="I116" s="198">
        <f t="shared" si="34"/>
        <v>7.277381992063475</v>
      </c>
      <c r="J116" s="199">
        <f t="shared" si="36"/>
        <v>7604.8641817063317</v>
      </c>
      <c r="K116" s="200">
        <f t="shared" si="30"/>
        <v>13831.545843677897</v>
      </c>
      <c r="L116" s="201">
        <f>+J116-K116</f>
        <v>-6226.6816619715655</v>
      </c>
      <c r="M116" s="202">
        <f t="shared" si="26"/>
        <v>-340.02101532166841</v>
      </c>
      <c r="N116" s="203">
        <f t="shared" si="27"/>
        <v>-6566.702677293234</v>
      </c>
      <c r="O116" s="202">
        <v>0</v>
      </c>
      <c r="P116" s="202">
        <v>0</v>
      </c>
      <c r="Q116" s="202">
        <v>0</v>
      </c>
      <c r="R116" s="203">
        <f t="shared" si="28"/>
        <v>-6566.702677293234</v>
      </c>
    </row>
    <row r="117" spans="1:18" x14ac:dyDescent="0.2">
      <c r="A117" s="160">
        <v>2</v>
      </c>
      <c r="B117" s="195">
        <f t="shared" si="35"/>
        <v>44593</v>
      </c>
      <c r="C117" s="216">
        <f t="shared" ref="C117:D139" si="37">+C105</f>
        <v>44623</v>
      </c>
      <c r="D117" s="216">
        <f t="shared" si="37"/>
        <v>44642</v>
      </c>
      <c r="E117" s="204" t="s">
        <v>13</v>
      </c>
      <c r="F117" s="160">
        <v>9</v>
      </c>
      <c r="G117" s="197">
        <v>1114</v>
      </c>
      <c r="H117" s="198">
        <f t="shared" si="25"/>
        <v>13.235929037012342</v>
      </c>
      <c r="I117" s="198">
        <f t="shared" si="34"/>
        <v>7.277381992063475</v>
      </c>
      <c r="J117" s="199">
        <f t="shared" si="36"/>
        <v>8107.0035391587107</v>
      </c>
      <c r="K117" s="200">
        <f t="shared" si="30"/>
        <v>14744.824947231749</v>
      </c>
      <c r="L117" s="201">
        <f>+J117-K117</f>
        <v>-6637.8214080730386</v>
      </c>
      <c r="M117" s="202">
        <f t="shared" si="26"/>
        <v>-362.47216370175943</v>
      </c>
      <c r="N117" s="203">
        <f t="shared" si="27"/>
        <v>-7000.2935717747978</v>
      </c>
      <c r="O117" s="202">
        <v>0</v>
      </c>
      <c r="P117" s="202">
        <v>0</v>
      </c>
      <c r="Q117" s="202">
        <v>0</v>
      </c>
      <c r="R117" s="203">
        <f t="shared" si="28"/>
        <v>-7000.2935717747978</v>
      </c>
    </row>
    <row r="118" spans="1:18" x14ac:dyDescent="0.2">
      <c r="A118" s="160">
        <v>3</v>
      </c>
      <c r="B118" s="195">
        <f t="shared" si="35"/>
        <v>44621</v>
      </c>
      <c r="C118" s="216">
        <f t="shared" si="37"/>
        <v>44656</v>
      </c>
      <c r="D118" s="216">
        <f t="shared" si="37"/>
        <v>44676</v>
      </c>
      <c r="E118" s="204" t="s">
        <v>13</v>
      </c>
      <c r="F118" s="160">
        <v>9</v>
      </c>
      <c r="G118" s="197">
        <v>977</v>
      </c>
      <c r="H118" s="198">
        <f t="shared" si="25"/>
        <v>13.235929037012342</v>
      </c>
      <c r="I118" s="198">
        <f t="shared" si="34"/>
        <v>7.277381992063475</v>
      </c>
      <c r="J118" s="199">
        <f t="shared" si="36"/>
        <v>7110.0022062460148</v>
      </c>
      <c r="K118" s="200">
        <f t="shared" si="30"/>
        <v>12931.502669161058</v>
      </c>
      <c r="L118" s="201">
        <f>+J118-K118</f>
        <v>-5821.5004629150435</v>
      </c>
      <c r="M118" s="202">
        <f t="shared" si="26"/>
        <v>-317.8952459036077</v>
      </c>
      <c r="N118" s="203">
        <f t="shared" si="27"/>
        <v>-6139.3957088186507</v>
      </c>
      <c r="O118" s="202">
        <v>0</v>
      </c>
      <c r="P118" s="202">
        <v>0</v>
      </c>
      <c r="Q118" s="202">
        <v>0</v>
      </c>
      <c r="R118" s="203">
        <f t="shared" si="28"/>
        <v>-6139.3957088186507</v>
      </c>
    </row>
    <row r="119" spans="1:18" x14ac:dyDescent="0.2">
      <c r="A119" s="124">
        <v>4</v>
      </c>
      <c r="B119" s="195">
        <f t="shared" si="35"/>
        <v>44652</v>
      </c>
      <c r="C119" s="216">
        <f t="shared" si="37"/>
        <v>44685</v>
      </c>
      <c r="D119" s="216">
        <f t="shared" si="37"/>
        <v>44705</v>
      </c>
      <c r="E119" s="54" t="s">
        <v>13</v>
      </c>
      <c r="F119" s="160">
        <v>9</v>
      </c>
      <c r="G119" s="197">
        <v>539</v>
      </c>
      <c r="H119" s="198">
        <f t="shared" si="25"/>
        <v>13.235929037012342</v>
      </c>
      <c r="I119" s="198">
        <f t="shared" si="34"/>
        <v>7.277381992063475</v>
      </c>
      <c r="J119" s="199">
        <f t="shared" si="36"/>
        <v>3922.5088937222131</v>
      </c>
      <c r="K119" s="200">
        <f t="shared" si="30"/>
        <v>7134.1657509496526</v>
      </c>
      <c r="L119" s="201">
        <f t="shared" ref="L119:L127" si="38">+J119-K119</f>
        <v>-3211.6568572274396</v>
      </c>
      <c r="M119" s="202">
        <f t="shared" si="26"/>
        <v>-175.37926053433424</v>
      </c>
      <c r="N119" s="203">
        <f t="shared" si="27"/>
        <v>-3387.0361177617738</v>
      </c>
      <c r="O119" s="202">
        <v>0</v>
      </c>
      <c r="P119" s="202">
        <v>0</v>
      </c>
      <c r="Q119" s="202">
        <v>0</v>
      </c>
      <c r="R119" s="203">
        <f t="shared" si="28"/>
        <v>-3387.0361177617738</v>
      </c>
    </row>
    <row r="120" spans="1:18" x14ac:dyDescent="0.2">
      <c r="A120" s="160">
        <v>5</v>
      </c>
      <c r="B120" s="195">
        <f t="shared" si="35"/>
        <v>44682</v>
      </c>
      <c r="C120" s="216">
        <f t="shared" si="37"/>
        <v>44715</v>
      </c>
      <c r="D120" s="216">
        <f t="shared" si="37"/>
        <v>44735</v>
      </c>
      <c r="E120" s="54" t="s">
        <v>13</v>
      </c>
      <c r="F120" s="160">
        <v>9</v>
      </c>
      <c r="G120" s="197">
        <v>754</v>
      </c>
      <c r="H120" s="198">
        <f t="shared" si="25"/>
        <v>13.235929037012342</v>
      </c>
      <c r="I120" s="198">
        <f t="shared" si="34"/>
        <v>7.277381992063475</v>
      </c>
      <c r="J120" s="199">
        <f t="shared" si="36"/>
        <v>5487.1460220158606</v>
      </c>
      <c r="K120" s="200">
        <f t="shared" si="30"/>
        <v>9979.8904939073054</v>
      </c>
      <c r="L120" s="201">
        <f t="shared" si="38"/>
        <v>-4492.7444718914448</v>
      </c>
      <c r="M120" s="202">
        <f t="shared" si="26"/>
        <v>-245.33573737084976</v>
      </c>
      <c r="N120" s="203">
        <f t="shared" si="27"/>
        <v>-4738.0802092622944</v>
      </c>
      <c r="O120" s="202">
        <v>0</v>
      </c>
      <c r="P120" s="202">
        <v>0</v>
      </c>
      <c r="Q120" s="202">
        <v>0</v>
      </c>
      <c r="R120" s="203">
        <f t="shared" si="28"/>
        <v>-4738.0802092622944</v>
      </c>
    </row>
    <row r="121" spans="1:18" x14ac:dyDescent="0.2">
      <c r="A121" s="160">
        <v>6</v>
      </c>
      <c r="B121" s="195">
        <f t="shared" si="35"/>
        <v>44713</v>
      </c>
      <c r="C121" s="216">
        <f t="shared" si="37"/>
        <v>44747</v>
      </c>
      <c r="D121" s="216">
        <f t="shared" si="37"/>
        <v>44767</v>
      </c>
      <c r="E121" s="54" t="s">
        <v>13</v>
      </c>
      <c r="F121" s="160">
        <v>9</v>
      </c>
      <c r="G121" s="197">
        <v>946</v>
      </c>
      <c r="H121" s="198">
        <f t="shared" si="25"/>
        <v>13.235929037012342</v>
      </c>
      <c r="I121" s="198">
        <f t="shared" si="34"/>
        <v>7.277381992063475</v>
      </c>
      <c r="J121" s="199">
        <f t="shared" si="36"/>
        <v>6884.4033644920473</v>
      </c>
      <c r="K121" s="200">
        <f t="shared" si="30"/>
        <v>12521.188869013675</v>
      </c>
      <c r="L121" s="205">
        <f t="shared" si="38"/>
        <v>-5636.7855045216274</v>
      </c>
      <c r="M121" s="202">
        <f t="shared" si="26"/>
        <v>-307.80849808066824</v>
      </c>
      <c r="N121" s="203">
        <f t="shared" si="27"/>
        <v>-5944.5940026022954</v>
      </c>
      <c r="O121" s="202">
        <v>0</v>
      </c>
      <c r="P121" s="202">
        <v>0</v>
      </c>
      <c r="Q121" s="202">
        <v>0</v>
      </c>
      <c r="R121" s="203">
        <f t="shared" si="28"/>
        <v>-5944.5940026022954</v>
      </c>
    </row>
    <row r="122" spans="1:18" x14ac:dyDescent="0.2">
      <c r="A122" s="124">
        <v>7</v>
      </c>
      <c r="B122" s="195">
        <f t="shared" si="35"/>
        <v>44743</v>
      </c>
      <c r="C122" s="216">
        <f t="shared" si="37"/>
        <v>44776</v>
      </c>
      <c r="D122" s="216">
        <f t="shared" si="37"/>
        <v>44796</v>
      </c>
      <c r="E122" s="54" t="s">
        <v>13</v>
      </c>
      <c r="F122" s="160">
        <v>9</v>
      </c>
      <c r="G122" s="197">
        <v>979</v>
      </c>
      <c r="H122" s="198">
        <f t="shared" si="25"/>
        <v>13.235929037012342</v>
      </c>
      <c r="I122" s="198">
        <f t="shared" si="34"/>
        <v>7.277381992063475</v>
      </c>
      <c r="J122" s="199">
        <f t="shared" si="36"/>
        <v>7124.5569702301418</v>
      </c>
      <c r="K122" s="206">
        <f t="shared" si="30"/>
        <v>12957.974527235083</v>
      </c>
      <c r="L122" s="205">
        <f t="shared" si="38"/>
        <v>-5833.417557004941</v>
      </c>
      <c r="M122" s="202">
        <f t="shared" si="26"/>
        <v>-318.5460038276683</v>
      </c>
      <c r="N122" s="203">
        <f t="shared" si="27"/>
        <v>-6151.9635608326098</v>
      </c>
      <c r="O122" s="202">
        <v>0</v>
      </c>
      <c r="P122" s="202">
        <v>0</v>
      </c>
      <c r="Q122" s="202">
        <v>0</v>
      </c>
      <c r="R122" s="203">
        <f t="shared" si="28"/>
        <v>-6151.9635608326098</v>
      </c>
    </row>
    <row r="123" spans="1:18" x14ac:dyDescent="0.2">
      <c r="A123" s="160">
        <v>8</v>
      </c>
      <c r="B123" s="195">
        <f t="shared" si="35"/>
        <v>44774</v>
      </c>
      <c r="C123" s="216">
        <f t="shared" si="37"/>
        <v>44809</v>
      </c>
      <c r="D123" s="216">
        <f t="shared" si="37"/>
        <v>44827</v>
      </c>
      <c r="E123" s="54" t="s">
        <v>13</v>
      </c>
      <c r="F123" s="160">
        <v>9</v>
      </c>
      <c r="G123" s="197">
        <v>973</v>
      </c>
      <c r="H123" s="198">
        <f t="shared" si="25"/>
        <v>13.235929037012342</v>
      </c>
      <c r="I123" s="198">
        <f t="shared" si="34"/>
        <v>7.277381992063475</v>
      </c>
      <c r="J123" s="199">
        <f t="shared" si="36"/>
        <v>7080.8926782777608</v>
      </c>
      <c r="K123" s="206">
        <f t="shared" si="30"/>
        <v>12878.558953013009</v>
      </c>
      <c r="L123" s="205">
        <f t="shared" si="38"/>
        <v>-5797.6662747352484</v>
      </c>
      <c r="M123" s="202">
        <f t="shared" si="26"/>
        <v>-316.59373005548645</v>
      </c>
      <c r="N123" s="203">
        <f t="shared" si="27"/>
        <v>-6114.2600047907345</v>
      </c>
      <c r="O123" s="202">
        <v>0</v>
      </c>
      <c r="P123" s="202">
        <v>0</v>
      </c>
      <c r="Q123" s="202">
        <v>0</v>
      </c>
      <c r="R123" s="203">
        <f t="shared" si="28"/>
        <v>-6114.2600047907345</v>
      </c>
    </row>
    <row r="124" spans="1:18" x14ac:dyDescent="0.2">
      <c r="A124" s="160">
        <v>9</v>
      </c>
      <c r="B124" s="195">
        <f t="shared" si="35"/>
        <v>44805</v>
      </c>
      <c r="C124" s="216">
        <f t="shared" si="37"/>
        <v>44839</v>
      </c>
      <c r="D124" s="216">
        <f t="shared" si="37"/>
        <v>44859</v>
      </c>
      <c r="E124" s="54" t="s">
        <v>13</v>
      </c>
      <c r="F124" s="160">
        <v>9</v>
      </c>
      <c r="G124" s="197">
        <v>847</v>
      </c>
      <c r="H124" s="198">
        <f t="shared" si="25"/>
        <v>13.235929037012342</v>
      </c>
      <c r="I124" s="198">
        <f t="shared" si="34"/>
        <v>7.277381992063475</v>
      </c>
      <c r="J124" s="199">
        <f t="shared" si="36"/>
        <v>6163.942547277763</v>
      </c>
      <c r="K124" s="206">
        <f t="shared" si="30"/>
        <v>11210.831894349454</v>
      </c>
      <c r="L124" s="205">
        <f t="shared" si="38"/>
        <v>-5046.8893470716912</v>
      </c>
      <c r="M124" s="202">
        <f t="shared" si="26"/>
        <v>-275.59598083966807</v>
      </c>
      <c r="N124" s="203">
        <f t="shared" si="27"/>
        <v>-5322.4853279113595</v>
      </c>
      <c r="O124" s="202">
        <v>0</v>
      </c>
      <c r="P124" s="202">
        <v>0</v>
      </c>
      <c r="Q124" s="202">
        <v>0</v>
      </c>
      <c r="R124" s="203">
        <f t="shared" si="28"/>
        <v>-5322.4853279113595</v>
      </c>
    </row>
    <row r="125" spans="1:18" x14ac:dyDescent="0.2">
      <c r="A125" s="124">
        <v>10</v>
      </c>
      <c r="B125" s="195">
        <f t="shared" si="35"/>
        <v>44835</v>
      </c>
      <c r="C125" s="216">
        <f t="shared" si="37"/>
        <v>44868</v>
      </c>
      <c r="D125" s="216">
        <f t="shared" si="37"/>
        <v>44888</v>
      </c>
      <c r="E125" s="54" t="s">
        <v>13</v>
      </c>
      <c r="F125" s="160">
        <v>9</v>
      </c>
      <c r="G125" s="197">
        <v>609</v>
      </c>
      <c r="H125" s="198">
        <f t="shared" si="25"/>
        <v>13.235929037012342</v>
      </c>
      <c r="I125" s="198">
        <f t="shared" si="34"/>
        <v>7.277381992063475</v>
      </c>
      <c r="J125" s="199">
        <f t="shared" si="36"/>
        <v>4431.9256331666566</v>
      </c>
      <c r="K125" s="206">
        <f t="shared" si="30"/>
        <v>8060.6807835405161</v>
      </c>
      <c r="L125" s="205">
        <f t="shared" si="38"/>
        <v>-3628.7551503738596</v>
      </c>
      <c r="M125" s="202">
        <f t="shared" si="26"/>
        <v>-198.15578787645558</v>
      </c>
      <c r="N125" s="203">
        <f t="shared" si="27"/>
        <v>-3826.9109382503152</v>
      </c>
      <c r="O125" s="202">
        <v>0</v>
      </c>
      <c r="P125" s="202">
        <v>0</v>
      </c>
      <c r="Q125" s="202">
        <v>0</v>
      </c>
      <c r="R125" s="203">
        <f t="shared" si="28"/>
        <v>-3826.9109382503152</v>
      </c>
    </row>
    <row r="126" spans="1:18" x14ac:dyDescent="0.2">
      <c r="A126" s="160">
        <v>11</v>
      </c>
      <c r="B126" s="195">
        <f t="shared" si="35"/>
        <v>44866</v>
      </c>
      <c r="C126" s="216">
        <f t="shared" si="37"/>
        <v>44900</v>
      </c>
      <c r="D126" s="216">
        <f t="shared" si="37"/>
        <v>44918</v>
      </c>
      <c r="E126" s="54" t="s">
        <v>13</v>
      </c>
      <c r="F126" s="160">
        <v>9</v>
      </c>
      <c r="G126" s="197">
        <v>807</v>
      </c>
      <c r="H126" s="198">
        <f t="shared" si="25"/>
        <v>13.235929037012342</v>
      </c>
      <c r="I126" s="198">
        <f t="shared" si="34"/>
        <v>7.277381992063475</v>
      </c>
      <c r="J126" s="199">
        <f t="shared" si="36"/>
        <v>5872.8472675952244</v>
      </c>
      <c r="K126" s="206">
        <f t="shared" si="30"/>
        <v>10681.394732868961</v>
      </c>
      <c r="L126" s="205">
        <f t="shared" si="38"/>
        <v>-4808.5474652737366</v>
      </c>
      <c r="M126" s="202">
        <f t="shared" si="26"/>
        <v>-262.58082235845586</v>
      </c>
      <c r="N126" s="203">
        <f t="shared" si="27"/>
        <v>-5071.128287632193</v>
      </c>
      <c r="O126" s="202">
        <v>0</v>
      </c>
      <c r="P126" s="202">
        <v>0</v>
      </c>
      <c r="Q126" s="202">
        <v>0</v>
      </c>
      <c r="R126" s="203">
        <f t="shared" si="28"/>
        <v>-5071.128287632193</v>
      </c>
    </row>
    <row r="127" spans="1:18" s="220" customFormat="1" x14ac:dyDescent="0.2">
      <c r="A127" s="160">
        <v>12</v>
      </c>
      <c r="B127" s="218">
        <f t="shared" si="35"/>
        <v>44896</v>
      </c>
      <c r="C127" s="221">
        <f t="shared" si="37"/>
        <v>44930</v>
      </c>
      <c r="D127" s="221">
        <f t="shared" si="37"/>
        <v>44950</v>
      </c>
      <c r="E127" s="219" t="s">
        <v>13</v>
      </c>
      <c r="F127" s="171">
        <v>9</v>
      </c>
      <c r="G127" s="207">
        <v>1434</v>
      </c>
      <c r="H127" s="208">
        <f t="shared" si="25"/>
        <v>13.235929037012342</v>
      </c>
      <c r="I127" s="208">
        <f t="shared" si="34"/>
        <v>7.277381992063475</v>
      </c>
      <c r="J127" s="209">
        <f t="shared" si="36"/>
        <v>10435.765776619022</v>
      </c>
      <c r="K127" s="210">
        <f t="shared" si="30"/>
        <v>18980.3222390757</v>
      </c>
      <c r="L127" s="211">
        <f t="shared" si="38"/>
        <v>-8544.5564624566778</v>
      </c>
      <c r="M127" s="202">
        <f t="shared" si="26"/>
        <v>-466.59343155145689</v>
      </c>
      <c r="N127" s="203">
        <f t="shared" si="27"/>
        <v>-9011.1498940081347</v>
      </c>
      <c r="O127" s="202">
        <v>0</v>
      </c>
      <c r="P127" s="202">
        <v>0</v>
      </c>
      <c r="Q127" s="202">
        <v>0</v>
      </c>
      <c r="R127" s="203">
        <f t="shared" si="28"/>
        <v>-9011.1498940081347</v>
      </c>
    </row>
    <row r="128" spans="1:18" x14ac:dyDescent="0.2">
      <c r="A128" s="124">
        <v>1</v>
      </c>
      <c r="B128" s="195">
        <f t="shared" si="35"/>
        <v>44562</v>
      </c>
      <c r="C128" s="216">
        <f t="shared" si="37"/>
        <v>44595</v>
      </c>
      <c r="D128" s="216">
        <f t="shared" si="37"/>
        <v>44615</v>
      </c>
      <c r="E128" s="196" t="s">
        <v>15</v>
      </c>
      <c r="F128" s="124">
        <v>9</v>
      </c>
      <c r="G128" s="197">
        <v>8</v>
      </c>
      <c r="H128" s="198">
        <f t="shared" si="25"/>
        <v>13.235929037012342</v>
      </c>
      <c r="I128" s="198">
        <f t="shared" ref="I128:I147" si="39">$J$3</f>
        <v>7.277381992063475</v>
      </c>
      <c r="J128" s="199">
        <f t="shared" si="36"/>
        <v>58.2190559365078</v>
      </c>
      <c r="K128" s="200">
        <f t="shared" si="30"/>
        <v>105.88743229609874</v>
      </c>
      <c r="L128" s="201">
        <f>+J128-K128</f>
        <v>-47.668376359590937</v>
      </c>
      <c r="M128" s="202">
        <f t="shared" si="26"/>
        <v>-2.6030316962424376</v>
      </c>
      <c r="N128" s="203">
        <f t="shared" si="27"/>
        <v>-50.271408055833376</v>
      </c>
      <c r="O128" s="202">
        <v>0</v>
      </c>
      <c r="P128" s="202">
        <v>0</v>
      </c>
      <c r="Q128" s="202">
        <v>0</v>
      </c>
      <c r="R128" s="203">
        <f t="shared" si="28"/>
        <v>-50.271408055833376</v>
      </c>
    </row>
    <row r="129" spans="1:18" x14ac:dyDescent="0.2">
      <c r="A129" s="160">
        <v>2</v>
      </c>
      <c r="B129" s="195">
        <f t="shared" si="35"/>
        <v>44593</v>
      </c>
      <c r="C129" s="216">
        <f t="shared" si="37"/>
        <v>44623</v>
      </c>
      <c r="D129" s="216">
        <f t="shared" si="37"/>
        <v>44642</v>
      </c>
      <c r="E129" s="204" t="s">
        <v>15</v>
      </c>
      <c r="F129" s="160">
        <v>9</v>
      </c>
      <c r="G129" s="197">
        <v>7</v>
      </c>
      <c r="H129" s="198">
        <f t="shared" si="25"/>
        <v>13.235929037012342</v>
      </c>
      <c r="I129" s="198">
        <f t="shared" si="39"/>
        <v>7.277381992063475</v>
      </c>
      <c r="J129" s="199">
        <f t="shared" si="36"/>
        <v>50.941673944444325</v>
      </c>
      <c r="K129" s="200">
        <f t="shared" si="30"/>
        <v>92.651503259086397</v>
      </c>
      <c r="L129" s="201">
        <f>+J129-K129</f>
        <v>-41.709829314642072</v>
      </c>
      <c r="M129" s="202">
        <f t="shared" si="26"/>
        <v>-2.2776527342121327</v>
      </c>
      <c r="N129" s="203">
        <f t="shared" si="27"/>
        <v>-43.987482048854204</v>
      </c>
      <c r="O129" s="202">
        <v>0</v>
      </c>
      <c r="P129" s="202">
        <v>0</v>
      </c>
      <c r="Q129" s="202">
        <v>0</v>
      </c>
      <c r="R129" s="203">
        <f t="shared" si="28"/>
        <v>-43.987482048854204</v>
      </c>
    </row>
    <row r="130" spans="1:18" x14ac:dyDescent="0.2">
      <c r="A130" s="160">
        <v>3</v>
      </c>
      <c r="B130" s="195">
        <f t="shared" si="35"/>
        <v>44621</v>
      </c>
      <c r="C130" s="216">
        <f t="shared" si="37"/>
        <v>44656</v>
      </c>
      <c r="D130" s="216">
        <f t="shared" si="37"/>
        <v>44676</v>
      </c>
      <c r="E130" s="204" t="s">
        <v>15</v>
      </c>
      <c r="F130" s="160">
        <v>9</v>
      </c>
      <c r="G130" s="197">
        <v>5</v>
      </c>
      <c r="H130" s="198">
        <f t="shared" si="25"/>
        <v>13.235929037012342</v>
      </c>
      <c r="I130" s="198">
        <f t="shared" si="39"/>
        <v>7.277381992063475</v>
      </c>
      <c r="J130" s="199">
        <f t="shared" si="36"/>
        <v>36.386909960317375</v>
      </c>
      <c r="K130" s="200">
        <f t="shared" si="30"/>
        <v>66.179645185061716</v>
      </c>
      <c r="L130" s="201">
        <f>+J130-K130</f>
        <v>-29.792735224744341</v>
      </c>
      <c r="M130" s="202">
        <f t="shared" si="26"/>
        <v>-1.6268948101515235</v>
      </c>
      <c r="N130" s="203">
        <f t="shared" si="27"/>
        <v>-31.419630034895864</v>
      </c>
      <c r="O130" s="202">
        <v>0</v>
      </c>
      <c r="P130" s="202">
        <v>0</v>
      </c>
      <c r="Q130" s="202">
        <v>0</v>
      </c>
      <c r="R130" s="203">
        <f t="shared" si="28"/>
        <v>-31.419630034895864</v>
      </c>
    </row>
    <row r="131" spans="1:18" x14ac:dyDescent="0.2">
      <c r="A131" s="124">
        <v>4</v>
      </c>
      <c r="B131" s="195">
        <f t="shared" si="35"/>
        <v>44652</v>
      </c>
      <c r="C131" s="216">
        <f t="shared" si="37"/>
        <v>44685</v>
      </c>
      <c r="D131" s="216">
        <f t="shared" si="37"/>
        <v>44705</v>
      </c>
      <c r="E131" s="204" t="s">
        <v>15</v>
      </c>
      <c r="F131" s="160">
        <v>9</v>
      </c>
      <c r="G131" s="197">
        <v>7</v>
      </c>
      <c r="H131" s="198">
        <f t="shared" si="25"/>
        <v>13.235929037012342</v>
      </c>
      <c r="I131" s="198">
        <f t="shared" si="39"/>
        <v>7.277381992063475</v>
      </c>
      <c r="J131" s="199">
        <f t="shared" si="36"/>
        <v>50.941673944444325</v>
      </c>
      <c r="K131" s="200">
        <f t="shared" si="30"/>
        <v>92.651503259086397</v>
      </c>
      <c r="L131" s="201">
        <f t="shared" ref="L131:L141" si="40">+J131-K131</f>
        <v>-41.709829314642072</v>
      </c>
      <c r="M131" s="202">
        <f t="shared" si="26"/>
        <v>-2.2776527342121327</v>
      </c>
      <c r="N131" s="203">
        <f t="shared" si="27"/>
        <v>-43.987482048854204</v>
      </c>
      <c r="O131" s="202">
        <v>0</v>
      </c>
      <c r="P131" s="202">
        <v>0</v>
      </c>
      <c r="Q131" s="202">
        <v>0</v>
      </c>
      <c r="R131" s="203">
        <f t="shared" si="28"/>
        <v>-43.987482048854204</v>
      </c>
    </row>
    <row r="132" spans="1:18" x14ac:dyDescent="0.2">
      <c r="A132" s="160">
        <v>5</v>
      </c>
      <c r="B132" s="195">
        <f t="shared" si="35"/>
        <v>44682</v>
      </c>
      <c r="C132" s="216">
        <f t="shared" si="37"/>
        <v>44715</v>
      </c>
      <c r="D132" s="216">
        <f t="shared" si="37"/>
        <v>44735</v>
      </c>
      <c r="E132" s="54" t="s">
        <v>15</v>
      </c>
      <c r="F132" s="160">
        <v>9</v>
      </c>
      <c r="G132" s="197">
        <v>10</v>
      </c>
      <c r="H132" s="198">
        <f t="shared" si="25"/>
        <v>13.235929037012342</v>
      </c>
      <c r="I132" s="198">
        <f t="shared" si="39"/>
        <v>7.277381992063475</v>
      </c>
      <c r="J132" s="199">
        <f t="shared" si="36"/>
        <v>72.77381992063475</v>
      </c>
      <c r="K132" s="200">
        <f t="shared" si="30"/>
        <v>132.35929037012343</v>
      </c>
      <c r="L132" s="201">
        <f t="shared" si="40"/>
        <v>-59.585470449488682</v>
      </c>
      <c r="M132" s="202">
        <f t="shared" si="26"/>
        <v>-3.253789620303047</v>
      </c>
      <c r="N132" s="203">
        <f t="shared" si="27"/>
        <v>-62.839260069791727</v>
      </c>
      <c r="O132" s="202">
        <v>0</v>
      </c>
      <c r="P132" s="202">
        <v>0</v>
      </c>
      <c r="Q132" s="202">
        <v>0</v>
      </c>
      <c r="R132" s="203">
        <f t="shared" si="28"/>
        <v>-62.839260069791727</v>
      </c>
    </row>
    <row r="133" spans="1:18" x14ac:dyDescent="0.2">
      <c r="A133" s="160">
        <v>6</v>
      </c>
      <c r="B133" s="195">
        <f t="shared" si="35"/>
        <v>44713</v>
      </c>
      <c r="C133" s="216">
        <f t="shared" si="37"/>
        <v>44747</v>
      </c>
      <c r="D133" s="216">
        <f t="shared" si="37"/>
        <v>44767</v>
      </c>
      <c r="E133" s="54" t="s">
        <v>15</v>
      </c>
      <c r="F133" s="160">
        <v>9</v>
      </c>
      <c r="G133" s="197">
        <v>14</v>
      </c>
      <c r="H133" s="198">
        <f t="shared" si="25"/>
        <v>13.235929037012342</v>
      </c>
      <c r="I133" s="198">
        <f t="shared" si="39"/>
        <v>7.277381992063475</v>
      </c>
      <c r="J133" s="199">
        <f t="shared" si="36"/>
        <v>101.88334788888865</v>
      </c>
      <c r="K133" s="200">
        <f t="shared" si="30"/>
        <v>185.30300651817279</v>
      </c>
      <c r="L133" s="205">
        <f t="shared" si="40"/>
        <v>-83.419658629284143</v>
      </c>
      <c r="M133" s="202">
        <f t="shared" si="26"/>
        <v>-4.5553054684242653</v>
      </c>
      <c r="N133" s="203">
        <f t="shared" si="27"/>
        <v>-87.974964097708408</v>
      </c>
      <c r="O133" s="202">
        <v>0</v>
      </c>
      <c r="P133" s="202">
        <v>0</v>
      </c>
      <c r="Q133" s="202">
        <v>0</v>
      </c>
      <c r="R133" s="203">
        <f t="shared" si="28"/>
        <v>-87.974964097708408</v>
      </c>
    </row>
    <row r="134" spans="1:18" x14ac:dyDescent="0.2">
      <c r="A134" s="124">
        <v>7</v>
      </c>
      <c r="B134" s="195">
        <f t="shared" si="35"/>
        <v>44743</v>
      </c>
      <c r="C134" s="216">
        <f t="shared" si="37"/>
        <v>44776</v>
      </c>
      <c r="D134" s="216">
        <f t="shared" si="37"/>
        <v>44796</v>
      </c>
      <c r="E134" s="54" t="s">
        <v>15</v>
      </c>
      <c r="F134" s="160">
        <v>9</v>
      </c>
      <c r="G134" s="197">
        <v>18</v>
      </c>
      <c r="H134" s="198">
        <f t="shared" si="25"/>
        <v>13.235929037012342</v>
      </c>
      <c r="I134" s="198">
        <f t="shared" si="39"/>
        <v>7.277381992063475</v>
      </c>
      <c r="J134" s="199">
        <f t="shared" si="36"/>
        <v>130.99287585714256</v>
      </c>
      <c r="K134" s="206">
        <f t="shared" ref="K134:K197" si="41">+$G134*H134</f>
        <v>238.24672266622215</v>
      </c>
      <c r="L134" s="205">
        <f t="shared" si="40"/>
        <v>-107.25384680907959</v>
      </c>
      <c r="M134" s="202">
        <f t="shared" si="26"/>
        <v>-5.856821316545485</v>
      </c>
      <c r="N134" s="203">
        <f t="shared" si="27"/>
        <v>-113.11066812562507</v>
      </c>
      <c r="O134" s="202">
        <v>0</v>
      </c>
      <c r="P134" s="202">
        <v>0</v>
      </c>
      <c r="Q134" s="202">
        <v>0</v>
      </c>
      <c r="R134" s="203">
        <f t="shared" si="28"/>
        <v>-113.11066812562507</v>
      </c>
    </row>
    <row r="135" spans="1:18" x14ac:dyDescent="0.2">
      <c r="A135" s="160">
        <v>8</v>
      </c>
      <c r="B135" s="195">
        <f t="shared" si="35"/>
        <v>44774</v>
      </c>
      <c r="C135" s="216">
        <f t="shared" si="37"/>
        <v>44809</v>
      </c>
      <c r="D135" s="216">
        <f t="shared" si="37"/>
        <v>44827</v>
      </c>
      <c r="E135" s="54" t="s">
        <v>15</v>
      </c>
      <c r="F135" s="160">
        <v>9</v>
      </c>
      <c r="G135" s="197">
        <v>16</v>
      </c>
      <c r="H135" s="198">
        <f t="shared" si="25"/>
        <v>13.235929037012342</v>
      </c>
      <c r="I135" s="198">
        <f t="shared" si="39"/>
        <v>7.277381992063475</v>
      </c>
      <c r="J135" s="199">
        <f t="shared" si="36"/>
        <v>116.4381118730156</v>
      </c>
      <c r="K135" s="206">
        <f t="shared" si="41"/>
        <v>211.77486459219747</v>
      </c>
      <c r="L135" s="205">
        <f t="shared" si="40"/>
        <v>-95.336752719181874</v>
      </c>
      <c r="M135" s="202">
        <f t="shared" si="26"/>
        <v>-5.2060633924848752</v>
      </c>
      <c r="N135" s="203">
        <f t="shared" si="27"/>
        <v>-100.54281611166675</v>
      </c>
      <c r="O135" s="202">
        <v>0</v>
      </c>
      <c r="P135" s="202">
        <v>0</v>
      </c>
      <c r="Q135" s="202">
        <v>0</v>
      </c>
      <c r="R135" s="203">
        <f t="shared" si="28"/>
        <v>-100.54281611166675</v>
      </c>
    </row>
    <row r="136" spans="1:18" x14ac:dyDescent="0.2">
      <c r="A136" s="160">
        <v>9</v>
      </c>
      <c r="B136" s="195">
        <f t="shared" si="35"/>
        <v>44805</v>
      </c>
      <c r="C136" s="216">
        <f t="shared" si="37"/>
        <v>44839</v>
      </c>
      <c r="D136" s="216">
        <f t="shared" si="37"/>
        <v>44859</v>
      </c>
      <c r="E136" s="54" t="s">
        <v>15</v>
      </c>
      <c r="F136" s="160">
        <v>9</v>
      </c>
      <c r="G136" s="197">
        <v>9</v>
      </c>
      <c r="H136" s="198">
        <f t="shared" si="25"/>
        <v>13.235929037012342</v>
      </c>
      <c r="I136" s="198">
        <f t="shared" si="39"/>
        <v>7.277381992063475</v>
      </c>
      <c r="J136" s="199">
        <f t="shared" si="36"/>
        <v>65.496437928571282</v>
      </c>
      <c r="K136" s="206">
        <f t="shared" si="41"/>
        <v>119.12336133311108</v>
      </c>
      <c r="L136" s="205">
        <f t="shared" si="40"/>
        <v>-53.626923404539795</v>
      </c>
      <c r="M136" s="202">
        <f t="shared" si="26"/>
        <v>-2.9284106582727425</v>
      </c>
      <c r="N136" s="203">
        <f t="shared" si="27"/>
        <v>-56.555334062812534</v>
      </c>
      <c r="O136" s="202">
        <v>0</v>
      </c>
      <c r="P136" s="202">
        <v>0</v>
      </c>
      <c r="Q136" s="202">
        <v>0</v>
      </c>
      <c r="R136" s="203">
        <f t="shared" si="28"/>
        <v>-56.555334062812534</v>
      </c>
    </row>
    <row r="137" spans="1:18" x14ac:dyDescent="0.2">
      <c r="A137" s="124">
        <v>10</v>
      </c>
      <c r="B137" s="195">
        <f t="shared" si="35"/>
        <v>44835</v>
      </c>
      <c r="C137" s="216">
        <f t="shared" si="37"/>
        <v>44868</v>
      </c>
      <c r="D137" s="216">
        <f t="shared" si="37"/>
        <v>44888</v>
      </c>
      <c r="E137" s="54" t="s">
        <v>15</v>
      </c>
      <c r="F137" s="160">
        <v>9</v>
      </c>
      <c r="G137" s="197">
        <v>6</v>
      </c>
      <c r="H137" s="198">
        <f t="shared" si="25"/>
        <v>13.235929037012342</v>
      </c>
      <c r="I137" s="198">
        <f t="shared" si="39"/>
        <v>7.277381992063475</v>
      </c>
      <c r="J137" s="199">
        <f t="shared" si="36"/>
        <v>43.66429195238085</v>
      </c>
      <c r="K137" s="206">
        <f t="shared" si="41"/>
        <v>79.415574222074056</v>
      </c>
      <c r="L137" s="205">
        <f t="shared" si="40"/>
        <v>-35.751282269693206</v>
      </c>
      <c r="M137" s="202">
        <f t="shared" si="26"/>
        <v>-1.9522737721818282</v>
      </c>
      <c r="N137" s="203">
        <f t="shared" si="27"/>
        <v>-37.703556041875032</v>
      </c>
      <c r="O137" s="202">
        <v>0</v>
      </c>
      <c r="P137" s="202">
        <v>0</v>
      </c>
      <c r="Q137" s="202">
        <v>0</v>
      </c>
      <c r="R137" s="203">
        <f t="shared" si="28"/>
        <v>-37.703556041875032</v>
      </c>
    </row>
    <row r="138" spans="1:18" x14ac:dyDescent="0.2">
      <c r="A138" s="160">
        <v>11</v>
      </c>
      <c r="B138" s="195">
        <f t="shared" si="35"/>
        <v>44866</v>
      </c>
      <c r="C138" s="216">
        <f t="shared" si="37"/>
        <v>44900</v>
      </c>
      <c r="D138" s="216">
        <f t="shared" si="37"/>
        <v>44918</v>
      </c>
      <c r="E138" s="54" t="s">
        <v>15</v>
      </c>
      <c r="F138" s="160">
        <v>9</v>
      </c>
      <c r="G138" s="197">
        <v>6</v>
      </c>
      <c r="H138" s="198">
        <f t="shared" si="25"/>
        <v>13.235929037012342</v>
      </c>
      <c r="I138" s="198">
        <f t="shared" si="39"/>
        <v>7.277381992063475</v>
      </c>
      <c r="J138" s="199">
        <f t="shared" si="36"/>
        <v>43.66429195238085</v>
      </c>
      <c r="K138" s="206">
        <f t="shared" si="41"/>
        <v>79.415574222074056</v>
      </c>
      <c r="L138" s="205">
        <f t="shared" si="40"/>
        <v>-35.751282269693206</v>
      </c>
      <c r="M138" s="202">
        <f t="shared" si="26"/>
        <v>-1.9522737721818282</v>
      </c>
      <c r="N138" s="203">
        <f t="shared" si="27"/>
        <v>-37.703556041875032</v>
      </c>
      <c r="O138" s="202">
        <v>0</v>
      </c>
      <c r="P138" s="202">
        <v>0</v>
      </c>
      <c r="Q138" s="202">
        <v>0</v>
      </c>
      <c r="R138" s="203">
        <f t="shared" si="28"/>
        <v>-37.703556041875032</v>
      </c>
    </row>
    <row r="139" spans="1:18" s="220" customFormat="1" x14ac:dyDescent="0.2">
      <c r="A139" s="160">
        <v>12</v>
      </c>
      <c r="B139" s="218">
        <f t="shared" si="35"/>
        <v>44896</v>
      </c>
      <c r="C139" s="216">
        <f t="shared" si="37"/>
        <v>44930</v>
      </c>
      <c r="D139" s="216">
        <f t="shared" si="37"/>
        <v>44950</v>
      </c>
      <c r="E139" s="219" t="s">
        <v>15</v>
      </c>
      <c r="F139" s="171">
        <v>9</v>
      </c>
      <c r="G139" s="207">
        <v>8</v>
      </c>
      <c r="H139" s="208">
        <f t="shared" si="25"/>
        <v>13.235929037012342</v>
      </c>
      <c r="I139" s="208">
        <f t="shared" si="39"/>
        <v>7.277381992063475</v>
      </c>
      <c r="J139" s="209">
        <f t="shared" si="36"/>
        <v>58.2190559365078</v>
      </c>
      <c r="K139" s="210">
        <f t="shared" si="41"/>
        <v>105.88743229609874</v>
      </c>
      <c r="L139" s="211">
        <f t="shared" si="40"/>
        <v>-47.668376359590937</v>
      </c>
      <c r="M139" s="202">
        <f t="shared" si="26"/>
        <v>-2.6030316962424376</v>
      </c>
      <c r="N139" s="203">
        <f t="shared" si="27"/>
        <v>-50.271408055833376</v>
      </c>
      <c r="O139" s="202">
        <v>0</v>
      </c>
      <c r="P139" s="202">
        <v>0</v>
      </c>
      <c r="Q139" s="202">
        <v>0</v>
      </c>
      <c r="R139" s="203">
        <f t="shared" si="28"/>
        <v>-50.271408055833376</v>
      </c>
    </row>
    <row r="140" spans="1:18" x14ac:dyDescent="0.2">
      <c r="A140" s="124">
        <v>1</v>
      </c>
      <c r="B140" s="195">
        <f t="shared" si="35"/>
        <v>44562</v>
      </c>
      <c r="C140" s="213">
        <f t="shared" ref="C140:D151" si="42">+C128</f>
        <v>44595</v>
      </c>
      <c r="D140" s="213">
        <f t="shared" si="42"/>
        <v>44615</v>
      </c>
      <c r="E140" s="223" t="s">
        <v>16</v>
      </c>
      <c r="F140" s="160">
        <v>9</v>
      </c>
      <c r="G140" s="197">
        <v>3</v>
      </c>
      <c r="H140" s="198">
        <f t="shared" si="25"/>
        <v>13.235929037012342</v>
      </c>
      <c r="I140" s="198">
        <f t="shared" si="39"/>
        <v>7.277381992063475</v>
      </c>
      <c r="J140" s="199">
        <f t="shared" si="36"/>
        <v>21.832145976190425</v>
      </c>
      <c r="K140" s="200">
        <f t="shared" si="41"/>
        <v>39.707787111037028</v>
      </c>
      <c r="L140" s="201">
        <f t="shared" si="40"/>
        <v>-17.875641134846603</v>
      </c>
      <c r="M140" s="202">
        <f t="shared" si="26"/>
        <v>-0.97613688609091409</v>
      </c>
      <c r="N140" s="203">
        <f t="shared" si="27"/>
        <v>-18.851778020937516</v>
      </c>
      <c r="O140" s="202">
        <v>0</v>
      </c>
      <c r="P140" s="202">
        <v>0</v>
      </c>
      <c r="Q140" s="202">
        <v>0</v>
      </c>
      <c r="R140" s="203">
        <f t="shared" si="28"/>
        <v>-18.851778020937516</v>
      </c>
    </row>
    <row r="141" spans="1:18" x14ac:dyDescent="0.2">
      <c r="A141" s="160">
        <v>2</v>
      </c>
      <c r="B141" s="195">
        <f t="shared" si="35"/>
        <v>44593</v>
      </c>
      <c r="C141" s="216">
        <f t="shared" si="42"/>
        <v>44623</v>
      </c>
      <c r="D141" s="216">
        <f t="shared" si="42"/>
        <v>44642</v>
      </c>
      <c r="E141" s="54" t="s">
        <v>16</v>
      </c>
      <c r="F141" s="160">
        <v>9</v>
      </c>
      <c r="G141" s="197">
        <v>2</v>
      </c>
      <c r="H141" s="198">
        <f t="shared" si="25"/>
        <v>13.235929037012342</v>
      </c>
      <c r="I141" s="198">
        <f t="shared" si="39"/>
        <v>7.277381992063475</v>
      </c>
      <c r="J141" s="199">
        <f t="shared" si="36"/>
        <v>14.55476398412695</v>
      </c>
      <c r="K141" s="200">
        <f t="shared" si="41"/>
        <v>26.471858074024684</v>
      </c>
      <c r="L141" s="201">
        <f t="shared" si="40"/>
        <v>-11.917094089897734</v>
      </c>
      <c r="M141" s="202">
        <f t="shared" si="26"/>
        <v>-0.65075792406060939</v>
      </c>
      <c r="N141" s="203">
        <f t="shared" si="27"/>
        <v>-12.567852013958344</v>
      </c>
      <c r="O141" s="202">
        <v>0</v>
      </c>
      <c r="P141" s="202">
        <v>0</v>
      </c>
      <c r="Q141" s="202">
        <v>0</v>
      </c>
      <c r="R141" s="203">
        <f t="shared" si="28"/>
        <v>-12.567852013958344</v>
      </c>
    </row>
    <row r="142" spans="1:18" x14ac:dyDescent="0.2">
      <c r="A142" s="160">
        <v>3</v>
      </c>
      <c r="B142" s="195">
        <f t="shared" si="35"/>
        <v>44621</v>
      </c>
      <c r="C142" s="216">
        <f t="shared" si="42"/>
        <v>44656</v>
      </c>
      <c r="D142" s="216">
        <f t="shared" si="42"/>
        <v>44676</v>
      </c>
      <c r="E142" s="54" t="s">
        <v>16</v>
      </c>
      <c r="F142" s="160">
        <v>9</v>
      </c>
      <c r="G142" s="197">
        <v>3</v>
      </c>
      <c r="H142" s="198">
        <f t="shared" si="25"/>
        <v>13.235929037012342</v>
      </c>
      <c r="I142" s="198">
        <f t="shared" si="39"/>
        <v>7.277381992063475</v>
      </c>
      <c r="J142" s="199">
        <f t="shared" si="36"/>
        <v>21.832145976190425</v>
      </c>
      <c r="K142" s="200">
        <f t="shared" si="41"/>
        <v>39.707787111037028</v>
      </c>
      <c r="L142" s="201">
        <f>+J142-K142</f>
        <v>-17.875641134846603</v>
      </c>
      <c r="M142" s="202">
        <f t="shared" si="26"/>
        <v>-0.97613688609091409</v>
      </c>
      <c r="N142" s="203">
        <f t="shared" si="27"/>
        <v>-18.851778020937516</v>
      </c>
      <c r="O142" s="202">
        <v>0</v>
      </c>
      <c r="P142" s="202">
        <v>0</v>
      </c>
      <c r="Q142" s="202">
        <v>0</v>
      </c>
      <c r="R142" s="203">
        <f t="shared" si="28"/>
        <v>-18.851778020937516</v>
      </c>
    </row>
    <row r="143" spans="1:18" x14ac:dyDescent="0.2">
      <c r="A143" s="124">
        <v>4</v>
      </c>
      <c r="B143" s="195">
        <f t="shared" si="35"/>
        <v>44652</v>
      </c>
      <c r="C143" s="216">
        <f t="shared" si="42"/>
        <v>44685</v>
      </c>
      <c r="D143" s="216">
        <f t="shared" si="42"/>
        <v>44705</v>
      </c>
      <c r="E143" s="54" t="s">
        <v>16</v>
      </c>
      <c r="F143" s="160">
        <v>9</v>
      </c>
      <c r="G143" s="197">
        <v>2</v>
      </c>
      <c r="H143" s="198">
        <f t="shared" si="25"/>
        <v>13.235929037012342</v>
      </c>
      <c r="I143" s="198">
        <f t="shared" si="39"/>
        <v>7.277381992063475</v>
      </c>
      <c r="J143" s="199">
        <f t="shared" si="36"/>
        <v>14.55476398412695</v>
      </c>
      <c r="K143" s="200">
        <f t="shared" si="41"/>
        <v>26.471858074024684</v>
      </c>
      <c r="L143" s="201">
        <f t="shared" ref="L143:L153" si="43">+J143-K143</f>
        <v>-11.917094089897734</v>
      </c>
      <c r="M143" s="202">
        <f t="shared" si="26"/>
        <v>-0.65075792406060939</v>
      </c>
      <c r="N143" s="203">
        <f t="shared" si="27"/>
        <v>-12.567852013958344</v>
      </c>
      <c r="O143" s="202">
        <v>0</v>
      </c>
      <c r="P143" s="202">
        <v>0</v>
      </c>
      <c r="Q143" s="202">
        <v>0</v>
      </c>
      <c r="R143" s="203">
        <f t="shared" si="28"/>
        <v>-12.567852013958344</v>
      </c>
    </row>
    <row r="144" spans="1:18" x14ac:dyDescent="0.2">
      <c r="A144" s="160">
        <v>5</v>
      </c>
      <c r="B144" s="195">
        <f t="shared" si="35"/>
        <v>44682</v>
      </c>
      <c r="C144" s="216">
        <f t="shared" si="42"/>
        <v>44715</v>
      </c>
      <c r="D144" s="216">
        <f t="shared" si="42"/>
        <v>44735</v>
      </c>
      <c r="E144" s="54" t="s">
        <v>16</v>
      </c>
      <c r="F144" s="160">
        <v>9</v>
      </c>
      <c r="G144" s="197">
        <v>3</v>
      </c>
      <c r="H144" s="198">
        <f t="shared" si="25"/>
        <v>13.235929037012342</v>
      </c>
      <c r="I144" s="198">
        <f t="shared" si="39"/>
        <v>7.277381992063475</v>
      </c>
      <c r="J144" s="199">
        <f t="shared" si="36"/>
        <v>21.832145976190425</v>
      </c>
      <c r="K144" s="200">
        <f t="shared" si="41"/>
        <v>39.707787111037028</v>
      </c>
      <c r="L144" s="201">
        <f t="shared" si="43"/>
        <v>-17.875641134846603</v>
      </c>
      <c r="M144" s="202">
        <f t="shared" si="26"/>
        <v>-0.97613688609091409</v>
      </c>
      <c r="N144" s="203">
        <f t="shared" si="27"/>
        <v>-18.851778020937516</v>
      </c>
      <c r="O144" s="202">
        <v>0</v>
      </c>
      <c r="P144" s="202">
        <v>0</v>
      </c>
      <c r="Q144" s="202">
        <v>0</v>
      </c>
      <c r="R144" s="203">
        <f t="shared" si="28"/>
        <v>-18.851778020937516</v>
      </c>
    </row>
    <row r="145" spans="1:19" x14ac:dyDescent="0.2">
      <c r="A145" s="160">
        <v>6</v>
      </c>
      <c r="B145" s="195">
        <f t="shared" si="35"/>
        <v>44713</v>
      </c>
      <c r="C145" s="216">
        <f t="shared" si="42"/>
        <v>44747</v>
      </c>
      <c r="D145" s="216">
        <f t="shared" si="42"/>
        <v>44767</v>
      </c>
      <c r="E145" s="54" t="s">
        <v>16</v>
      </c>
      <c r="F145" s="160">
        <v>9</v>
      </c>
      <c r="G145" s="197">
        <v>5</v>
      </c>
      <c r="H145" s="198">
        <f t="shared" si="25"/>
        <v>13.235929037012342</v>
      </c>
      <c r="I145" s="198">
        <f t="shared" si="39"/>
        <v>7.277381992063475</v>
      </c>
      <c r="J145" s="199">
        <f t="shared" si="36"/>
        <v>36.386909960317375</v>
      </c>
      <c r="K145" s="200">
        <f t="shared" si="41"/>
        <v>66.179645185061716</v>
      </c>
      <c r="L145" s="205">
        <f t="shared" si="43"/>
        <v>-29.792735224744341</v>
      </c>
      <c r="M145" s="202">
        <f t="shared" si="26"/>
        <v>-1.6268948101515235</v>
      </c>
      <c r="N145" s="203">
        <f t="shared" si="27"/>
        <v>-31.419630034895864</v>
      </c>
      <c r="O145" s="202">
        <v>0</v>
      </c>
      <c r="P145" s="202">
        <v>0</v>
      </c>
      <c r="Q145" s="202">
        <v>0</v>
      </c>
      <c r="R145" s="203">
        <f t="shared" si="28"/>
        <v>-31.419630034895864</v>
      </c>
    </row>
    <row r="146" spans="1:19" x14ac:dyDescent="0.2">
      <c r="A146" s="124">
        <v>7</v>
      </c>
      <c r="B146" s="195">
        <f t="shared" si="35"/>
        <v>44743</v>
      </c>
      <c r="C146" s="216">
        <f t="shared" si="42"/>
        <v>44776</v>
      </c>
      <c r="D146" s="216">
        <f t="shared" si="42"/>
        <v>44796</v>
      </c>
      <c r="E146" s="54" t="s">
        <v>16</v>
      </c>
      <c r="F146" s="160">
        <v>9</v>
      </c>
      <c r="G146" s="197">
        <v>6</v>
      </c>
      <c r="H146" s="198">
        <f t="shared" si="25"/>
        <v>13.235929037012342</v>
      </c>
      <c r="I146" s="198">
        <f t="shared" si="39"/>
        <v>7.277381992063475</v>
      </c>
      <c r="J146" s="199">
        <f t="shared" si="36"/>
        <v>43.66429195238085</v>
      </c>
      <c r="K146" s="206">
        <f t="shared" si="41"/>
        <v>79.415574222074056</v>
      </c>
      <c r="L146" s="205">
        <f t="shared" si="43"/>
        <v>-35.751282269693206</v>
      </c>
      <c r="M146" s="202">
        <f t="shared" si="26"/>
        <v>-1.9522737721818282</v>
      </c>
      <c r="N146" s="203">
        <f t="shared" si="27"/>
        <v>-37.703556041875032</v>
      </c>
      <c r="O146" s="202">
        <v>0</v>
      </c>
      <c r="P146" s="202">
        <v>0</v>
      </c>
      <c r="Q146" s="202">
        <v>0</v>
      </c>
      <c r="R146" s="203">
        <f t="shared" si="28"/>
        <v>-37.703556041875032</v>
      </c>
    </row>
    <row r="147" spans="1:19" x14ac:dyDescent="0.2">
      <c r="A147" s="160">
        <v>8</v>
      </c>
      <c r="B147" s="195">
        <f t="shared" si="35"/>
        <v>44774</v>
      </c>
      <c r="C147" s="216">
        <f t="shared" si="42"/>
        <v>44809</v>
      </c>
      <c r="D147" s="216">
        <f t="shared" si="42"/>
        <v>44827</v>
      </c>
      <c r="E147" s="54" t="s">
        <v>16</v>
      </c>
      <c r="F147" s="160">
        <v>9</v>
      </c>
      <c r="G147" s="197">
        <v>6</v>
      </c>
      <c r="H147" s="198">
        <f t="shared" si="25"/>
        <v>13.235929037012342</v>
      </c>
      <c r="I147" s="198">
        <f t="shared" si="39"/>
        <v>7.277381992063475</v>
      </c>
      <c r="J147" s="199">
        <f t="shared" si="36"/>
        <v>43.66429195238085</v>
      </c>
      <c r="K147" s="206">
        <f t="shared" si="41"/>
        <v>79.415574222074056</v>
      </c>
      <c r="L147" s="205">
        <f t="shared" si="43"/>
        <v>-35.751282269693206</v>
      </c>
      <c r="M147" s="202">
        <f t="shared" si="26"/>
        <v>-1.9522737721818282</v>
      </c>
      <c r="N147" s="203">
        <f t="shared" si="27"/>
        <v>-37.703556041875032</v>
      </c>
      <c r="O147" s="202">
        <v>0</v>
      </c>
      <c r="P147" s="202">
        <v>0</v>
      </c>
      <c r="Q147" s="202">
        <v>0</v>
      </c>
      <c r="R147" s="203">
        <f t="shared" si="28"/>
        <v>-37.703556041875032</v>
      </c>
    </row>
    <row r="148" spans="1:19" x14ac:dyDescent="0.2">
      <c r="A148" s="160">
        <v>9</v>
      </c>
      <c r="B148" s="195">
        <f t="shared" si="35"/>
        <v>44805</v>
      </c>
      <c r="C148" s="216">
        <f t="shared" si="42"/>
        <v>44839</v>
      </c>
      <c r="D148" s="216">
        <f t="shared" si="42"/>
        <v>44859</v>
      </c>
      <c r="E148" s="54" t="s">
        <v>16</v>
      </c>
      <c r="F148" s="160">
        <v>9</v>
      </c>
      <c r="G148" s="197">
        <v>3</v>
      </c>
      <c r="H148" s="198">
        <f t="shared" si="25"/>
        <v>13.235929037012342</v>
      </c>
      <c r="I148" s="198">
        <f t="shared" ref="I148:I179" si="44">$J$3</f>
        <v>7.277381992063475</v>
      </c>
      <c r="J148" s="199">
        <f t="shared" si="36"/>
        <v>21.832145976190425</v>
      </c>
      <c r="K148" s="206">
        <f t="shared" si="41"/>
        <v>39.707787111037028</v>
      </c>
      <c r="L148" s="205">
        <f t="shared" si="43"/>
        <v>-17.875641134846603</v>
      </c>
      <c r="M148" s="202">
        <f t="shared" si="26"/>
        <v>-0.97613688609091409</v>
      </c>
      <c r="N148" s="203">
        <f t="shared" si="27"/>
        <v>-18.851778020937516</v>
      </c>
      <c r="O148" s="202">
        <v>0</v>
      </c>
      <c r="P148" s="202">
        <v>0</v>
      </c>
      <c r="Q148" s="202">
        <v>0</v>
      </c>
      <c r="R148" s="203">
        <f t="shared" si="28"/>
        <v>-18.851778020937516</v>
      </c>
    </row>
    <row r="149" spans="1:19" x14ac:dyDescent="0.2">
      <c r="A149" s="124">
        <v>10</v>
      </c>
      <c r="B149" s="195">
        <f t="shared" ref="B149:B211" si="45">DATE($R$1,A149,1)</f>
        <v>44835</v>
      </c>
      <c r="C149" s="216">
        <f t="shared" si="42"/>
        <v>44868</v>
      </c>
      <c r="D149" s="216">
        <f t="shared" si="42"/>
        <v>44888</v>
      </c>
      <c r="E149" s="54" t="s">
        <v>16</v>
      </c>
      <c r="F149" s="160">
        <v>9</v>
      </c>
      <c r="G149" s="197">
        <v>2</v>
      </c>
      <c r="H149" s="198">
        <f t="shared" ref="H149:H211" si="46">+$K$3</f>
        <v>13.235929037012342</v>
      </c>
      <c r="I149" s="198">
        <f t="shared" si="44"/>
        <v>7.277381992063475</v>
      </c>
      <c r="J149" s="199">
        <f t="shared" ref="J149:J211" si="47">+$G149*I149</f>
        <v>14.55476398412695</v>
      </c>
      <c r="K149" s="206">
        <f t="shared" si="41"/>
        <v>26.471858074024684</v>
      </c>
      <c r="L149" s="205">
        <f t="shared" si="43"/>
        <v>-11.917094089897734</v>
      </c>
      <c r="M149" s="202">
        <f t="shared" ref="M149:M211" si="48">G149/$G$212*$M$14</f>
        <v>-0.65075792406060939</v>
      </c>
      <c r="N149" s="203">
        <f t="shared" ref="N149:N211" si="49">SUM(L149:M149)</f>
        <v>-12.567852013958344</v>
      </c>
      <c r="O149" s="202">
        <v>0</v>
      </c>
      <c r="P149" s="202">
        <v>0</v>
      </c>
      <c r="Q149" s="202">
        <v>0</v>
      </c>
      <c r="R149" s="203">
        <f t="shared" ref="R149:R211" si="50">+N149-Q149</f>
        <v>-12.567852013958344</v>
      </c>
    </row>
    <row r="150" spans="1:19" x14ac:dyDescent="0.2">
      <c r="A150" s="160">
        <v>11</v>
      </c>
      <c r="B150" s="195">
        <f t="shared" si="45"/>
        <v>44866</v>
      </c>
      <c r="C150" s="216">
        <f t="shared" si="42"/>
        <v>44900</v>
      </c>
      <c r="D150" s="216">
        <f t="shared" si="42"/>
        <v>44918</v>
      </c>
      <c r="E150" s="54" t="s">
        <v>16</v>
      </c>
      <c r="F150" s="160">
        <v>9</v>
      </c>
      <c r="G150" s="197">
        <v>1</v>
      </c>
      <c r="H150" s="198">
        <f t="shared" si="46"/>
        <v>13.235929037012342</v>
      </c>
      <c r="I150" s="198">
        <f t="shared" si="44"/>
        <v>7.277381992063475</v>
      </c>
      <c r="J150" s="199">
        <f t="shared" si="47"/>
        <v>7.277381992063475</v>
      </c>
      <c r="K150" s="206">
        <f t="shared" si="41"/>
        <v>13.235929037012342</v>
      </c>
      <c r="L150" s="205">
        <f t="shared" si="43"/>
        <v>-5.9585470449488671</v>
      </c>
      <c r="M150" s="202">
        <f t="shared" si="48"/>
        <v>-0.3253789620303047</v>
      </c>
      <c r="N150" s="203">
        <f t="shared" si="49"/>
        <v>-6.283926006979172</v>
      </c>
      <c r="O150" s="202">
        <v>0</v>
      </c>
      <c r="P150" s="202">
        <v>0</v>
      </c>
      <c r="Q150" s="202">
        <v>0</v>
      </c>
      <c r="R150" s="203">
        <f t="shared" si="50"/>
        <v>-6.283926006979172</v>
      </c>
    </row>
    <row r="151" spans="1:19" s="220" customFormat="1" x14ac:dyDescent="0.2">
      <c r="A151" s="160">
        <v>12</v>
      </c>
      <c r="B151" s="218">
        <f t="shared" si="45"/>
        <v>44896</v>
      </c>
      <c r="C151" s="216">
        <f t="shared" si="42"/>
        <v>44930</v>
      </c>
      <c r="D151" s="216">
        <f t="shared" si="42"/>
        <v>44950</v>
      </c>
      <c r="E151" s="219" t="s">
        <v>16</v>
      </c>
      <c r="F151" s="171">
        <v>9</v>
      </c>
      <c r="G151" s="207">
        <v>4</v>
      </c>
      <c r="H151" s="208">
        <f t="shared" si="46"/>
        <v>13.235929037012342</v>
      </c>
      <c r="I151" s="208">
        <f t="shared" si="44"/>
        <v>7.277381992063475</v>
      </c>
      <c r="J151" s="209">
        <f t="shared" si="47"/>
        <v>29.1095279682539</v>
      </c>
      <c r="K151" s="210">
        <f t="shared" si="41"/>
        <v>52.943716148049369</v>
      </c>
      <c r="L151" s="211">
        <f t="shared" si="43"/>
        <v>-23.834188179795468</v>
      </c>
      <c r="M151" s="202">
        <f t="shared" si="48"/>
        <v>-1.3015158481212188</v>
      </c>
      <c r="N151" s="203">
        <f t="shared" si="49"/>
        <v>-25.135704027916688</v>
      </c>
      <c r="O151" s="202">
        <v>0</v>
      </c>
      <c r="P151" s="202">
        <v>0</v>
      </c>
      <c r="Q151" s="202">
        <v>0</v>
      </c>
      <c r="R151" s="203">
        <f t="shared" si="50"/>
        <v>-25.135704027916688</v>
      </c>
    </row>
    <row r="152" spans="1:19" x14ac:dyDescent="0.2">
      <c r="A152" s="124">
        <v>1</v>
      </c>
      <c r="B152" s="195">
        <f t="shared" si="45"/>
        <v>44562</v>
      </c>
      <c r="C152" s="213">
        <f t="shared" ref="C152:D171" si="51">+C140</f>
        <v>44595</v>
      </c>
      <c r="D152" s="213">
        <f t="shared" si="51"/>
        <v>44615</v>
      </c>
      <c r="E152" s="223" t="s">
        <v>54</v>
      </c>
      <c r="F152" s="124">
        <v>9</v>
      </c>
      <c r="G152" s="197">
        <v>121</v>
      </c>
      <c r="H152" s="198">
        <f t="shared" si="46"/>
        <v>13.235929037012342</v>
      </c>
      <c r="I152" s="198">
        <f t="shared" si="44"/>
        <v>7.277381992063475</v>
      </c>
      <c r="J152" s="199">
        <f t="shared" si="47"/>
        <v>880.56322103968046</v>
      </c>
      <c r="K152" s="200">
        <f t="shared" si="41"/>
        <v>1601.5474134784934</v>
      </c>
      <c r="L152" s="201">
        <f t="shared" si="43"/>
        <v>-720.9841924388129</v>
      </c>
      <c r="M152" s="202">
        <f t="shared" si="48"/>
        <v>-39.370854405666869</v>
      </c>
      <c r="N152" s="203">
        <f t="shared" si="49"/>
        <v>-760.35504684447972</v>
      </c>
      <c r="O152" s="202">
        <v>0</v>
      </c>
      <c r="P152" s="202">
        <v>0</v>
      </c>
      <c r="Q152" s="202">
        <v>0</v>
      </c>
      <c r="R152" s="203">
        <f t="shared" si="50"/>
        <v>-760.35504684447972</v>
      </c>
    </row>
    <row r="153" spans="1:19" x14ac:dyDescent="0.2">
      <c r="A153" s="160">
        <v>2</v>
      </c>
      <c r="B153" s="195">
        <f t="shared" si="45"/>
        <v>44593</v>
      </c>
      <c r="C153" s="216">
        <f t="shared" si="51"/>
        <v>44623</v>
      </c>
      <c r="D153" s="216">
        <f t="shared" si="51"/>
        <v>44642</v>
      </c>
      <c r="E153" s="224" t="s">
        <v>54</v>
      </c>
      <c r="F153" s="160">
        <v>9</v>
      </c>
      <c r="G153" s="197">
        <v>109</v>
      </c>
      <c r="H153" s="198">
        <f t="shared" si="46"/>
        <v>13.235929037012342</v>
      </c>
      <c r="I153" s="198">
        <f t="shared" si="44"/>
        <v>7.277381992063475</v>
      </c>
      <c r="J153" s="199">
        <f t="shared" si="47"/>
        <v>793.23463713491878</v>
      </c>
      <c r="K153" s="200">
        <f t="shared" si="41"/>
        <v>1442.7162650343453</v>
      </c>
      <c r="L153" s="201">
        <f t="shared" si="43"/>
        <v>-649.48162789942648</v>
      </c>
      <c r="M153" s="202">
        <f t="shared" si="48"/>
        <v>-35.46630686130321</v>
      </c>
      <c r="N153" s="203">
        <f t="shared" si="49"/>
        <v>-684.94793476072971</v>
      </c>
      <c r="O153" s="202">
        <v>0</v>
      </c>
      <c r="P153" s="202">
        <v>0</v>
      </c>
      <c r="Q153" s="202">
        <v>0</v>
      </c>
      <c r="R153" s="203">
        <f t="shared" si="50"/>
        <v>-684.94793476072971</v>
      </c>
    </row>
    <row r="154" spans="1:19" x14ac:dyDescent="0.2">
      <c r="A154" s="160">
        <v>3</v>
      </c>
      <c r="B154" s="195">
        <f t="shared" si="45"/>
        <v>44621</v>
      </c>
      <c r="C154" s="216">
        <f t="shared" si="51"/>
        <v>44656</v>
      </c>
      <c r="D154" s="216">
        <f t="shared" si="51"/>
        <v>44676</v>
      </c>
      <c r="E154" s="224" t="s">
        <v>54</v>
      </c>
      <c r="F154" s="160">
        <v>9</v>
      </c>
      <c r="G154" s="197">
        <v>95</v>
      </c>
      <c r="H154" s="198">
        <f t="shared" si="46"/>
        <v>13.235929037012342</v>
      </c>
      <c r="I154" s="198">
        <f t="shared" si="44"/>
        <v>7.277381992063475</v>
      </c>
      <c r="J154" s="199">
        <f t="shared" si="47"/>
        <v>691.35128924603009</v>
      </c>
      <c r="K154" s="200">
        <f t="shared" si="41"/>
        <v>1257.4132585161724</v>
      </c>
      <c r="L154" s="201">
        <f>+J154-K154</f>
        <v>-566.0619692701423</v>
      </c>
      <c r="M154" s="202">
        <f t="shared" si="48"/>
        <v>-30.911001392878948</v>
      </c>
      <c r="N154" s="203">
        <f t="shared" si="49"/>
        <v>-596.97297066302121</v>
      </c>
      <c r="O154" s="202">
        <v>0</v>
      </c>
      <c r="P154" s="202">
        <v>0</v>
      </c>
      <c r="Q154" s="202">
        <v>0</v>
      </c>
      <c r="R154" s="203">
        <f t="shared" si="50"/>
        <v>-596.97297066302121</v>
      </c>
    </row>
    <row r="155" spans="1:19" x14ac:dyDescent="0.2">
      <c r="A155" s="124">
        <v>4</v>
      </c>
      <c r="B155" s="195">
        <f t="shared" si="45"/>
        <v>44652</v>
      </c>
      <c r="C155" s="216">
        <f t="shared" si="51"/>
        <v>44685</v>
      </c>
      <c r="D155" s="216">
        <f t="shared" si="51"/>
        <v>44705</v>
      </c>
      <c r="E155" s="224" t="s">
        <v>54</v>
      </c>
      <c r="F155" s="160">
        <v>9</v>
      </c>
      <c r="G155" s="197">
        <v>93</v>
      </c>
      <c r="H155" s="198">
        <f t="shared" si="46"/>
        <v>13.235929037012342</v>
      </c>
      <c r="I155" s="198">
        <f t="shared" si="44"/>
        <v>7.277381992063475</v>
      </c>
      <c r="J155" s="199">
        <f t="shared" si="47"/>
        <v>676.79652526190318</v>
      </c>
      <c r="K155" s="200">
        <f t="shared" si="41"/>
        <v>1230.9414004421478</v>
      </c>
      <c r="L155" s="201">
        <f t="shared" ref="L155:L165" si="52">+J155-K155</f>
        <v>-554.14487518024464</v>
      </c>
      <c r="M155" s="202">
        <f t="shared" si="48"/>
        <v>-30.260243468818338</v>
      </c>
      <c r="N155" s="203">
        <f t="shared" si="49"/>
        <v>-584.40511864906296</v>
      </c>
      <c r="O155" s="202">
        <v>0</v>
      </c>
      <c r="P155" s="202">
        <v>0</v>
      </c>
      <c r="Q155" s="202">
        <v>0</v>
      </c>
      <c r="R155" s="203">
        <f t="shared" si="50"/>
        <v>-584.40511864906296</v>
      </c>
    </row>
    <row r="156" spans="1:19" x14ac:dyDescent="0.2">
      <c r="A156" s="160">
        <v>5</v>
      </c>
      <c r="B156" s="195">
        <f t="shared" si="45"/>
        <v>44682</v>
      </c>
      <c r="C156" s="216">
        <f t="shared" si="51"/>
        <v>44715</v>
      </c>
      <c r="D156" s="216">
        <f t="shared" si="51"/>
        <v>44735</v>
      </c>
      <c r="E156" s="224" t="s">
        <v>54</v>
      </c>
      <c r="F156" s="160">
        <v>9</v>
      </c>
      <c r="G156" s="197">
        <v>125</v>
      </c>
      <c r="H156" s="198">
        <f t="shared" si="46"/>
        <v>13.235929037012342</v>
      </c>
      <c r="I156" s="198">
        <f t="shared" si="44"/>
        <v>7.277381992063475</v>
      </c>
      <c r="J156" s="199">
        <f t="shared" si="47"/>
        <v>909.67274900793439</v>
      </c>
      <c r="K156" s="200">
        <f t="shared" si="41"/>
        <v>1654.4911296265427</v>
      </c>
      <c r="L156" s="201">
        <f t="shared" si="52"/>
        <v>-744.81838061860833</v>
      </c>
      <c r="M156" s="202">
        <f t="shared" si="48"/>
        <v>-40.672370253788081</v>
      </c>
      <c r="N156" s="203">
        <f t="shared" si="49"/>
        <v>-785.49075087239646</v>
      </c>
      <c r="O156" s="202">
        <v>0</v>
      </c>
      <c r="P156" s="202">
        <v>0</v>
      </c>
      <c r="Q156" s="202">
        <v>0</v>
      </c>
      <c r="R156" s="203">
        <f t="shared" si="50"/>
        <v>-785.49075087239646</v>
      </c>
    </row>
    <row r="157" spans="1:19" x14ac:dyDescent="0.2">
      <c r="A157" s="160">
        <v>6</v>
      </c>
      <c r="B157" s="195">
        <f t="shared" si="45"/>
        <v>44713</v>
      </c>
      <c r="C157" s="216">
        <f t="shared" si="51"/>
        <v>44747</v>
      </c>
      <c r="D157" s="216">
        <f t="shared" si="51"/>
        <v>44767</v>
      </c>
      <c r="E157" s="224" t="s">
        <v>54</v>
      </c>
      <c r="F157" s="160">
        <v>9</v>
      </c>
      <c r="G157" s="197">
        <v>159</v>
      </c>
      <c r="H157" s="198">
        <f t="shared" si="46"/>
        <v>13.235929037012342</v>
      </c>
      <c r="I157" s="198">
        <f t="shared" si="44"/>
        <v>7.277381992063475</v>
      </c>
      <c r="J157" s="199">
        <f t="shared" si="47"/>
        <v>1157.1037367380925</v>
      </c>
      <c r="K157" s="200">
        <f t="shared" si="41"/>
        <v>2104.5127168849622</v>
      </c>
      <c r="L157" s="205">
        <f t="shared" si="52"/>
        <v>-947.40898014686968</v>
      </c>
      <c r="M157" s="202">
        <f t="shared" si="48"/>
        <v>-51.735254962818452</v>
      </c>
      <c r="N157" s="203">
        <f t="shared" si="49"/>
        <v>-999.14423510968811</v>
      </c>
      <c r="O157" s="202">
        <v>0</v>
      </c>
      <c r="P157" s="202">
        <v>0</v>
      </c>
      <c r="Q157" s="202">
        <v>0</v>
      </c>
      <c r="R157" s="203">
        <f t="shared" si="50"/>
        <v>-999.14423510968811</v>
      </c>
    </row>
    <row r="158" spans="1:19" x14ac:dyDescent="0.2">
      <c r="A158" s="124">
        <v>7</v>
      </c>
      <c r="B158" s="195">
        <f t="shared" si="45"/>
        <v>44743</v>
      </c>
      <c r="C158" s="216">
        <f t="shared" si="51"/>
        <v>44776</v>
      </c>
      <c r="D158" s="216">
        <f t="shared" si="51"/>
        <v>44796</v>
      </c>
      <c r="E158" s="224" t="s">
        <v>54</v>
      </c>
      <c r="F158" s="160">
        <v>9</v>
      </c>
      <c r="G158" s="197">
        <v>176</v>
      </c>
      <c r="H158" s="198">
        <f t="shared" si="46"/>
        <v>13.235929037012342</v>
      </c>
      <c r="I158" s="198">
        <f t="shared" si="44"/>
        <v>7.277381992063475</v>
      </c>
      <c r="J158" s="199">
        <f t="shared" si="47"/>
        <v>1280.8192306031715</v>
      </c>
      <c r="K158" s="206">
        <f t="shared" si="41"/>
        <v>2329.5235105141724</v>
      </c>
      <c r="L158" s="205">
        <f t="shared" si="52"/>
        <v>-1048.7042799110009</v>
      </c>
      <c r="M158" s="202">
        <f t="shared" si="48"/>
        <v>-57.266697317333623</v>
      </c>
      <c r="N158" s="203">
        <f t="shared" si="49"/>
        <v>-1105.9709772283345</v>
      </c>
      <c r="O158" s="202">
        <v>0</v>
      </c>
      <c r="P158" s="202">
        <v>0</v>
      </c>
      <c r="Q158" s="202">
        <v>0</v>
      </c>
      <c r="R158" s="203">
        <f t="shared" si="50"/>
        <v>-1105.9709772283345</v>
      </c>
    </row>
    <row r="159" spans="1:19" x14ac:dyDescent="0.2">
      <c r="A159" s="160">
        <v>8</v>
      </c>
      <c r="B159" s="195">
        <f t="shared" si="45"/>
        <v>44774</v>
      </c>
      <c r="C159" s="216">
        <f t="shared" si="51"/>
        <v>44809</v>
      </c>
      <c r="D159" s="216">
        <f t="shared" si="51"/>
        <v>44827</v>
      </c>
      <c r="E159" s="224" t="s">
        <v>54</v>
      </c>
      <c r="F159" s="124">
        <v>9</v>
      </c>
      <c r="G159" s="197">
        <v>167</v>
      </c>
      <c r="H159" s="198">
        <f t="shared" si="46"/>
        <v>13.235929037012342</v>
      </c>
      <c r="I159" s="198">
        <f t="shared" si="44"/>
        <v>7.277381992063475</v>
      </c>
      <c r="J159" s="199">
        <f t="shared" si="47"/>
        <v>1215.3227926746004</v>
      </c>
      <c r="K159" s="206">
        <f t="shared" si="41"/>
        <v>2210.4001491810614</v>
      </c>
      <c r="L159" s="205">
        <f t="shared" si="52"/>
        <v>-995.077356506461</v>
      </c>
      <c r="M159" s="202">
        <f t="shared" si="48"/>
        <v>-54.338286659060884</v>
      </c>
      <c r="N159" s="203">
        <f t="shared" si="49"/>
        <v>-1049.4156431655219</v>
      </c>
      <c r="O159" s="202">
        <v>0</v>
      </c>
      <c r="P159" s="202">
        <v>0</v>
      </c>
      <c r="Q159" s="202">
        <v>0</v>
      </c>
      <c r="R159" s="203">
        <f t="shared" si="50"/>
        <v>-1049.4156431655219</v>
      </c>
      <c r="S159" s="52"/>
    </row>
    <row r="160" spans="1:19" x14ac:dyDescent="0.2">
      <c r="A160" s="160">
        <v>9</v>
      </c>
      <c r="B160" s="195">
        <f t="shared" si="45"/>
        <v>44805</v>
      </c>
      <c r="C160" s="216">
        <f t="shared" si="51"/>
        <v>44839</v>
      </c>
      <c r="D160" s="216">
        <f t="shared" si="51"/>
        <v>44859</v>
      </c>
      <c r="E160" s="224" t="s">
        <v>54</v>
      </c>
      <c r="F160" s="124">
        <v>9</v>
      </c>
      <c r="G160" s="197">
        <v>153</v>
      </c>
      <c r="H160" s="198">
        <f t="shared" si="46"/>
        <v>13.235929037012342</v>
      </c>
      <c r="I160" s="198">
        <f t="shared" si="44"/>
        <v>7.277381992063475</v>
      </c>
      <c r="J160" s="199">
        <f t="shared" si="47"/>
        <v>1113.4394447857117</v>
      </c>
      <c r="K160" s="206">
        <f t="shared" si="41"/>
        <v>2025.0971426628882</v>
      </c>
      <c r="L160" s="205">
        <f t="shared" si="52"/>
        <v>-911.65769787717659</v>
      </c>
      <c r="M160" s="202">
        <f t="shared" si="48"/>
        <v>-49.782981190636619</v>
      </c>
      <c r="N160" s="203">
        <f t="shared" si="49"/>
        <v>-961.44067906781322</v>
      </c>
      <c r="O160" s="202">
        <v>0</v>
      </c>
      <c r="P160" s="202">
        <v>0</v>
      </c>
      <c r="Q160" s="202">
        <v>0</v>
      </c>
      <c r="R160" s="203">
        <f t="shared" si="50"/>
        <v>-961.44067906781322</v>
      </c>
    </row>
    <row r="161" spans="1:19" x14ac:dyDescent="0.2">
      <c r="A161" s="124">
        <v>10</v>
      </c>
      <c r="B161" s="195">
        <f t="shared" si="45"/>
        <v>44835</v>
      </c>
      <c r="C161" s="216">
        <f t="shared" si="51"/>
        <v>44868</v>
      </c>
      <c r="D161" s="216">
        <f t="shared" si="51"/>
        <v>44888</v>
      </c>
      <c r="E161" s="224" t="s">
        <v>54</v>
      </c>
      <c r="F161" s="124">
        <v>9</v>
      </c>
      <c r="G161" s="197">
        <v>104</v>
      </c>
      <c r="H161" s="198">
        <f t="shared" si="46"/>
        <v>13.235929037012342</v>
      </c>
      <c r="I161" s="198">
        <f t="shared" si="44"/>
        <v>7.277381992063475</v>
      </c>
      <c r="J161" s="199">
        <f t="shared" si="47"/>
        <v>756.84772717460146</v>
      </c>
      <c r="K161" s="206">
        <f t="shared" si="41"/>
        <v>1376.5366198492836</v>
      </c>
      <c r="L161" s="205">
        <f t="shared" si="52"/>
        <v>-619.68889267468217</v>
      </c>
      <c r="M161" s="202">
        <f t="shared" si="48"/>
        <v>-33.83941205115169</v>
      </c>
      <c r="N161" s="203">
        <f t="shared" si="49"/>
        <v>-653.52830472583389</v>
      </c>
      <c r="O161" s="202">
        <v>0</v>
      </c>
      <c r="P161" s="202">
        <v>0</v>
      </c>
      <c r="Q161" s="202">
        <v>0</v>
      </c>
      <c r="R161" s="203">
        <f t="shared" si="50"/>
        <v>-653.52830472583389</v>
      </c>
    </row>
    <row r="162" spans="1:19" x14ac:dyDescent="0.2">
      <c r="A162" s="160">
        <v>11</v>
      </c>
      <c r="B162" s="195">
        <f t="shared" si="45"/>
        <v>44866</v>
      </c>
      <c r="C162" s="216">
        <f t="shared" si="51"/>
        <v>44900</v>
      </c>
      <c r="D162" s="216">
        <f t="shared" si="51"/>
        <v>44918</v>
      </c>
      <c r="E162" s="224" t="s">
        <v>54</v>
      </c>
      <c r="F162" s="124">
        <v>9</v>
      </c>
      <c r="G162" s="197">
        <v>104</v>
      </c>
      <c r="H162" s="198">
        <f t="shared" si="46"/>
        <v>13.235929037012342</v>
      </c>
      <c r="I162" s="198">
        <f t="shared" si="44"/>
        <v>7.277381992063475</v>
      </c>
      <c r="J162" s="199">
        <f t="shared" si="47"/>
        <v>756.84772717460146</v>
      </c>
      <c r="K162" s="206">
        <f t="shared" si="41"/>
        <v>1376.5366198492836</v>
      </c>
      <c r="L162" s="205">
        <f t="shared" si="52"/>
        <v>-619.68889267468217</v>
      </c>
      <c r="M162" s="202">
        <f t="shared" si="48"/>
        <v>-33.83941205115169</v>
      </c>
      <c r="N162" s="203">
        <f t="shared" si="49"/>
        <v>-653.52830472583389</v>
      </c>
      <c r="O162" s="202">
        <v>0</v>
      </c>
      <c r="P162" s="202">
        <v>0</v>
      </c>
      <c r="Q162" s="202">
        <v>0</v>
      </c>
      <c r="R162" s="203">
        <f t="shared" si="50"/>
        <v>-653.52830472583389</v>
      </c>
    </row>
    <row r="163" spans="1:19" s="220" customFormat="1" x14ac:dyDescent="0.2">
      <c r="A163" s="160">
        <v>12</v>
      </c>
      <c r="B163" s="218">
        <f t="shared" si="45"/>
        <v>44896</v>
      </c>
      <c r="C163" s="216">
        <f t="shared" si="51"/>
        <v>44930</v>
      </c>
      <c r="D163" s="216">
        <f t="shared" si="51"/>
        <v>44950</v>
      </c>
      <c r="E163" s="225" t="s">
        <v>54</v>
      </c>
      <c r="F163" s="171">
        <v>9</v>
      </c>
      <c r="G163" s="207">
        <v>139</v>
      </c>
      <c r="H163" s="208">
        <f t="shared" si="46"/>
        <v>13.235929037012342</v>
      </c>
      <c r="I163" s="208">
        <f t="shared" si="44"/>
        <v>7.277381992063475</v>
      </c>
      <c r="J163" s="209">
        <f t="shared" si="47"/>
        <v>1011.5560968968231</v>
      </c>
      <c r="K163" s="210">
        <f t="shared" si="41"/>
        <v>1839.7941361447156</v>
      </c>
      <c r="L163" s="211">
        <f t="shared" si="52"/>
        <v>-828.23803924789252</v>
      </c>
      <c r="M163" s="202">
        <f t="shared" si="48"/>
        <v>-45.227675722212354</v>
      </c>
      <c r="N163" s="203">
        <f t="shared" si="49"/>
        <v>-873.46571497010484</v>
      </c>
      <c r="O163" s="202">
        <v>0</v>
      </c>
      <c r="P163" s="202">
        <v>0</v>
      </c>
      <c r="Q163" s="202">
        <v>0</v>
      </c>
      <c r="R163" s="203">
        <f t="shared" si="50"/>
        <v>-873.46571497010484</v>
      </c>
    </row>
    <row r="164" spans="1:19" x14ac:dyDescent="0.2">
      <c r="A164" s="124">
        <v>1</v>
      </c>
      <c r="B164" s="195">
        <f t="shared" si="45"/>
        <v>44562</v>
      </c>
      <c r="C164" s="213">
        <f t="shared" si="51"/>
        <v>44595</v>
      </c>
      <c r="D164" s="213">
        <f t="shared" si="51"/>
        <v>44615</v>
      </c>
      <c r="E164" s="223" t="s">
        <v>55</v>
      </c>
      <c r="F164" s="124">
        <v>9</v>
      </c>
      <c r="G164" s="197">
        <v>8</v>
      </c>
      <c r="H164" s="198">
        <f t="shared" si="46"/>
        <v>13.235929037012342</v>
      </c>
      <c r="I164" s="198">
        <f t="shared" si="44"/>
        <v>7.277381992063475</v>
      </c>
      <c r="J164" s="199">
        <f t="shared" si="47"/>
        <v>58.2190559365078</v>
      </c>
      <c r="K164" s="200">
        <f t="shared" si="41"/>
        <v>105.88743229609874</v>
      </c>
      <c r="L164" s="201">
        <f t="shared" si="52"/>
        <v>-47.668376359590937</v>
      </c>
      <c r="M164" s="202">
        <f t="shared" si="48"/>
        <v>-2.6030316962424376</v>
      </c>
      <c r="N164" s="203">
        <f t="shared" si="49"/>
        <v>-50.271408055833376</v>
      </c>
      <c r="O164" s="202">
        <v>0</v>
      </c>
      <c r="P164" s="202">
        <v>0</v>
      </c>
      <c r="Q164" s="202">
        <v>0</v>
      </c>
      <c r="R164" s="203">
        <f t="shared" si="50"/>
        <v>-50.271408055833376</v>
      </c>
    </row>
    <row r="165" spans="1:19" x14ac:dyDescent="0.2">
      <c r="A165" s="160">
        <v>2</v>
      </c>
      <c r="B165" s="195">
        <f t="shared" si="45"/>
        <v>44593</v>
      </c>
      <c r="C165" s="216">
        <f t="shared" si="51"/>
        <v>44623</v>
      </c>
      <c r="D165" s="216">
        <f t="shared" si="51"/>
        <v>44642</v>
      </c>
      <c r="E165" s="224" t="s">
        <v>55</v>
      </c>
      <c r="F165" s="160">
        <v>9</v>
      </c>
      <c r="G165" s="197">
        <v>11</v>
      </c>
      <c r="H165" s="198">
        <f t="shared" si="46"/>
        <v>13.235929037012342</v>
      </c>
      <c r="I165" s="198">
        <f t="shared" si="44"/>
        <v>7.277381992063475</v>
      </c>
      <c r="J165" s="199">
        <f t="shared" si="47"/>
        <v>80.051201912698218</v>
      </c>
      <c r="K165" s="200">
        <f t="shared" si="41"/>
        <v>145.59521940713577</v>
      </c>
      <c r="L165" s="201">
        <f t="shared" si="52"/>
        <v>-65.544017494437554</v>
      </c>
      <c r="M165" s="202">
        <f t="shared" si="48"/>
        <v>-3.5791685823333514</v>
      </c>
      <c r="N165" s="203">
        <f t="shared" si="49"/>
        <v>-69.123186076770907</v>
      </c>
      <c r="O165" s="202">
        <v>0</v>
      </c>
      <c r="P165" s="202">
        <v>0</v>
      </c>
      <c r="Q165" s="202">
        <v>0</v>
      </c>
      <c r="R165" s="203">
        <f t="shared" si="50"/>
        <v>-69.123186076770907</v>
      </c>
    </row>
    <row r="166" spans="1:19" x14ac:dyDescent="0.2">
      <c r="A166" s="160">
        <v>3</v>
      </c>
      <c r="B166" s="195">
        <f t="shared" si="45"/>
        <v>44621</v>
      </c>
      <c r="C166" s="216">
        <f t="shared" si="51"/>
        <v>44656</v>
      </c>
      <c r="D166" s="216">
        <f t="shared" si="51"/>
        <v>44676</v>
      </c>
      <c r="E166" s="224" t="s">
        <v>55</v>
      </c>
      <c r="F166" s="160">
        <v>9</v>
      </c>
      <c r="G166" s="197">
        <v>9</v>
      </c>
      <c r="H166" s="198">
        <f t="shared" si="46"/>
        <v>13.235929037012342</v>
      </c>
      <c r="I166" s="198">
        <f t="shared" si="44"/>
        <v>7.277381992063475</v>
      </c>
      <c r="J166" s="199">
        <f t="shared" si="47"/>
        <v>65.496437928571282</v>
      </c>
      <c r="K166" s="200">
        <f t="shared" si="41"/>
        <v>119.12336133311108</v>
      </c>
      <c r="L166" s="201">
        <f>+J166-K166</f>
        <v>-53.626923404539795</v>
      </c>
      <c r="M166" s="202">
        <f t="shared" si="48"/>
        <v>-2.9284106582727425</v>
      </c>
      <c r="N166" s="203">
        <f t="shared" si="49"/>
        <v>-56.555334062812534</v>
      </c>
      <c r="O166" s="202">
        <v>0</v>
      </c>
      <c r="P166" s="202">
        <v>0</v>
      </c>
      <c r="Q166" s="202">
        <v>0</v>
      </c>
      <c r="R166" s="203">
        <f t="shared" si="50"/>
        <v>-56.555334062812534</v>
      </c>
    </row>
    <row r="167" spans="1:19" x14ac:dyDescent="0.2">
      <c r="A167" s="124">
        <v>4</v>
      </c>
      <c r="B167" s="195">
        <f t="shared" si="45"/>
        <v>44652</v>
      </c>
      <c r="C167" s="216">
        <f t="shared" si="51"/>
        <v>44685</v>
      </c>
      <c r="D167" s="216">
        <f t="shared" si="51"/>
        <v>44705</v>
      </c>
      <c r="E167" s="224" t="s">
        <v>55</v>
      </c>
      <c r="F167" s="160">
        <v>9</v>
      </c>
      <c r="G167" s="197">
        <v>11</v>
      </c>
      <c r="H167" s="198">
        <f t="shared" si="46"/>
        <v>13.235929037012342</v>
      </c>
      <c r="I167" s="198">
        <f t="shared" si="44"/>
        <v>7.277381992063475</v>
      </c>
      <c r="J167" s="199">
        <f t="shared" si="47"/>
        <v>80.051201912698218</v>
      </c>
      <c r="K167" s="200">
        <f t="shared" si="41"/>
        <v>145.59521940713577</v>
      </c>
      <c r="L167" s="201">
        <f t="shared" ref="L167:L177" si="53">+J167-K167</f>
        <v>-65.544017494437554</v>
      </c>
      <c r="M167" s="202">
        <f t="shared" si="48"/>
        <v>-3.5791685823333514</v>
      </c>
      <c r="N167" s="203">
        <f t="shared" si="49"/>
        <v>-69.123186076770907</v>
      </c>
      <c r="O167" s="202">
        <v>0</v>
      </c>
      <c r="P167" s="202">
        <v>0</v>
      </c>
      <c r="Q167" s="202">
        <v>0</v>
      </c>
      <c r="R167" s="203">
        <f t="shared" si="50"/>
        <v>-69.123186076770907</v>
      </c>
    </row>
    <row r="168" spans="1:19" x14ac:dyDescent="0.2">
      <c r="A168" s="160">
        <v>5</v>
      </c>
      <c r="B168" s="195">
        <f t="shared" si="45"/>
        <v>44682</v>
      </c>
      <c r="C168" s="216">
        <f t="shared" si="51"/>
        <v>44715</v>
      </c>
      <c r="D168" s="216">
        <f t="shared" si="51"/>
        <v>44735</v>
      </c>
      <c r="E168" s="224" t="s">
        <v>55</v>
      </c>
      <c r="F168" s="160">
        <v>9</v>
      </c>
      <c r="G168" s="197">
        <v>11</v>
      </c>
      <c r="H168" s="198">
        <f t="shared" si="46"/>
        <v>13.235929037012342</v>
      </c>
      <c r="I168" s="198">
        <f t="shared" si="44"/>
        <v>7.277381992063475</v>
      </c>
      <c r="J168" s="199">
        <f t="shared" si="47"/>
        <v>80.051201912698218</v>
      </c>
      <c r="K168" s="200">
        <f t="shared" si="41"/>
        <v>145.59521940713577</v>
      </c>
      <c r="L168" s="201">
        <f t="shared" si="53"/>
        <v>-65.544017494437554</v>
      </c>
      <c r="M168" s="202">
        <f t="shared" si="48"/>
        <v>-3.5791685823333514</v>
      </c>
      <c r="N168" s="203">
        <f t="shared" si="49"/>
        <v>-69.123186076770907</v>
      </c>
      <c r="O168" s="202">
        <v>0</v>
      </c>
      <c r="P168" s="202">
        <v>0</v>
      </c>
      <c r="Q168" s="202">
        <v>0</v>
      </c>
      <c r="R168" s="203">
        <f t="shared" si="50"/>
        <v>-69.123186076770907</v>
      </c>
    </row>
    <row r="169" spans="1:19" x14ac:dyDescent="0.2">
      <c r="A169" s="160">
        <v>6</v>
      </c>
      <c r="B169" s="195">
        <f t="shared" si="45"/>
        <v>44713</v>
      </c>
      <c r="C169" s="216">
        <f t="shared" si="51"/>
        <v>44747</v>
      </c>
      <c r="D169" s="216">
        <f t="shared" si="51"/>
        <v>44767</v>
      </c>
      <c r="E169" s="224" t="s">
        <v>55</v>
      </c>
      <c r="F169" s="160">
        <v>9</v>
      </c>
      <c r="G169" s="197">
        <v>14</v>
      </c>
      <c r="H169" s="198">
        <f t="shared" si="46"/>
        <v>13.235929037012342</v>
      </c>
      <c r="I169" s="198">
        <f t="shared" si="44"/>
        <v>7.277381992063475</v>
      </c>
      <c r="J169" s="199">
        <f t="shared" si="47"/>
        <v>101.88334788888865</v>
      </c>
      <c r="K169" s="200">
        <f t="shared" si="41"/>
        <v>185.30300651817279</v>
      </c>
      <c r="L169" s="205">
        <f t="shared" si="53"/>
        <v>-83.419658629284143</v>
      </c>
      <c r="M169" s="202">
        <f t="shared" si="48"/>
        <v>-4.5553054684242653</v>
      </c>
      <c r="N169" s="203">
        <f t="shared" si="49"/>
        <v>-87.974964097708408</v>
      </c>
      <c r="O169" s="202">
        <v>0</v>
      </c>
      <c r="P169" s="202">
        <v>0</v>
      </c>
      <c r="Q169" s="202">
        <v>0</v>
      </c>
      <c r="R169" s="203">
        <f t="shared" si="50"/>
        <v>-87.974964097708408</v>
      </c>
    </row>
    <row r="170" spans="1:19" x14ac:dyDescent="0.2">
      <c r="A170" s="124">
        <v>7</v>
      </c>
      <c r="B170" s="195">
        <f t="shared" si="45"/>
        <v>44743</v>
      </c>
      <c r="C170" s="216">
        <f t="shared" si="51"/>
        <v>44776</v>
      </c>
      <c r="D170" s="216">
        <f t="shared" si="51"/>
        <v>44796</v>
      </c>
      <c r="E170" s="224" t="s">
        <v>55</v>
      </c>
      <c r="F170" s="160">
        <v>9</v>
      </c>
      <c r="G170" s="197">
        <v>13</v>
      </c>
      <c r="H170" s="198">
        <f t="shared" si="46"/>
        <v>13.235929037012342</v>
      </c>
      <c r="I170" s="198">
        <f t="shared" si="44"/>
        <v>7.277381992063475</v>
      </c>
      <c r="J170" s="199">
        <f t="shared" si="47"/>
        <v>94.605965896825182</v>
      </c>
      <c r="K170" s="206">
        <f t="shared" si="41"/>
        <v>172.06707748116045</v>
      </c>
      <c r="L170" s="205">
        <f t="shared" si="53"/>
        <v>-77.461111584335271</v>
      </c>
      <c r="M170" s="202">
        <f t="shared" si="48"/>
        <v>-4.2299265063939613</v>
      </c>
      <c r="N170" s="203">
        <f t="shared" si="49"/>
        <v>-81.691038090729236</v>
      </c>
      <c r="O170" s="202">
        <v>0</v>
      </c>
      <c r="P170" s="202">
        <v>0</v>
      </c>
      <c r="Q170" s="202">
        <v>0</v>
      </c>
      <c r="R170" s="203">
        <f t="shared" si="50"/>
        <v>-81.691038090729236</v>
      </c>
    </row>
    <row r="171" spans="1:19" x14ac:dyDescent="0.2">
      <c r="A171" s="160">
        <v>8</v>
      </c>
      <c r="B171" s="195">
        <f t="shared" si="45"/>
        <v>44774</v>
      </c>
      <c r="C171" s="216">
        <f t="shared" si="51"/>
        <v>44809</v>
      </c>
      <c r="D171" s="216">
        <f t="shared" si="51"/>
        <v>44827</v>
      </c>
      <c r="E171" s="224" t="s">
        <v>55</v>
      </c>
      <c r="F171" s="124">
        <v>9</v>
      </c>
      <c r="G171" s="197">
        <v>13</v>
      </c>
      <c r="H171" s="198">
        <f t="shared" si="46"/>
        <v>13.235929037012342</v>
      </c>
      <c r="I171" s="198">
        <f t="shared" si="44"/>
        <v>7.277381992063475</v>
      </c>
      <c r="J171" s="199">
        <f t="shared" si="47"/>
        <v>94.605965896825182</v>
      </c>
      <c r="K171" s="206">
        <f t="shared" si="41"/>
        <v>172.06707748116045</v>
      </c>
      <c r="L171" s="205">
        <f t="shared" si="53"/>
        <v>-77.461111584335271</v>
      </c>
      <c r="M171" s="202">
        <f t="shared" si="48"/>
        <v>-4.2299265063939613</v>
      </c>
      <c r="N171" s="203">
        <f t="shared" si="49"/>
        <v>-81.691038090729236</v>
      </c>
      <c r="O171" s="202">
        <v>0</v>
      </c>
      <c r="P171" s="202">
        <v>0</v>
      </c>
      <c r="Q171" s="202">
        <v>0</v>
      </c>
      <c r="R171" s="203">
        <f t="shared" si="50"/>
        <v>-81.691038090729236</v>
      </c>
      <c r="S171" s="52"/>
    </row>
    <row r="172" spans="1:19" x14ac:dyDescent="0.2">
      <c r="A172" s="160">
        <v>9</v>
      </c>
      <c r="B172" s="195">
        <f t="shared" si="45"/>
        <v>44805</v>
      </c>
      <c r="C172" s="216">
        <f t="shared" ref="C172:D175" si="54">+C160</f>
        <v>44839</v>
      </c>
      <c r="D172" s="216">
        <f t="shared" si="54"/>
        <v>44859</v>
      </c>
      <c r="E172" s="224" t="s">
        <v>55</v>
      </c>
      <c r="F172" s="124">
        <v>9</v>
      </c>
      <c r="G172" s="197">
        <v>13</v>
      </c>
      <c r="H172" s="198">
        <f t="shared" si="46"/>
        <v>13.235929037012342</v>
      </c>
      <c r="I172" s="198">
        <f t="shared" si="44"/>
        <v>7.277381992063475</v>
      </c>
      <c r="J172" s="199">
        <f t="shared" si="47"/>
        <v>94.605965896825182</v>
      </c>
      <c r="K172" s="206">
        <f t="shared" si="41"/>
        <v>172.06707748116045</v>
      </c>
      <c r="L172" s="205">
        <f t="shared" si="53"/>
        <v>-77.461111584335271</v>
      </c>
      <c r="M172" s="202">
        <f t="shared" si="48"/>
        <v>-4.2299265063939613</v>
      </c>
      <c r="N172" s="203">
        <f t="shared" si="49"/>
        <v>-81.691038090729236</v>
      </c>
      <c r="O172" s="202">
        <v>0</v>
      </c>
      <c r="P172" s="202">
        <v>0</v>
      </c>
      <c r="Q172" s="202">
        <v>0</v>
      </c>
      <c r="R172" s="203">
        <f t="shared" si="50"/>
        <v>-81.691038090729236</v>
      </c>
    </row>
    <row r="173" spans="1:19" x14ac:dyDescent="0.2">
      <c r="A173" s="124">
        <v>10</v>
      </c>
      <c r="B173" s="195">
        <f t="shared" si="45"/>
        <v>44835</v>
      </c>
      <c r="C173" s="216">
        <f t="shared" si="54"/>
        <v>44868</v>
      </c>
      <c r="D173" s="216">
        <f t="shared" si="54"/>
        <v>44888</v>
      </c>
      <c r="E173" s="224" t="s">
        <v>55</v>
      </c>
      <c r="F173" s="124">
        <v>9</v>
      </c>
      <c r="G173" s="197">
        <v>10</v>
      </c>
      <c r="H173" s="198">
        <f t="shared" si="46"/>
        <v>13.235929037012342</v>
      </c>
      <c r="I173" s="198">
        <f t="shared" si="44"/>
        <v>7.277381992063475</v>
      </c>
      <c r="J173" s="199">
        <f t="shared" si="47"/>
        <v>72.77381992063475</v>
      </c>
      <c r="K173" s="206">
        <f t="shared" si="41"/>
        <v>132.35929037012343</v>
      </c>
      <c r="L173" s="205">
        <f t="shared" si="53"/>
        <v>-59.585470449488682</v>
      </c>
      <c r="M173" s="202">
        <f t="shared" si="48"/>
        <v>-3.253789620303047</v>
      </c>
      <c r="N173" s="203">
        <f t="shared" si="49"/>
        <v>-62.839260069791727</v>
      </c>
      <c r="O173" s="202">
        <v>0</v>
      </c>
      <c r="P173" s="202">
        <v>0</v>
      </c>
      <c r="Q173" s="202">
        <v>0</v>
      </c>
      <c r="R173" s="203">
        <f t="shared" si="50"/>
        <v>-62.839260069791727</v>
      </c>
    </row>
    <row r="174" spans="1:19" x14ac:dyDescent="0.2">
      <c r="A174" s="160">
        <v>11</v>
      </c>
      <c r="B174" s="195">
        <f t="shared" si="45"/>
        <v>44866</v>
      </c>
      <c r="C174" s="216">
        <f t="shared" si="54"/>
        <v>44900</v>
      </c>
      <c r="D174" s="216">
        <f t="shared" si="54"/>
        <v>44918</v>
      </c>
      <c r="E174" s="224" t="s">
        <v>55</v>
      </c>
      <c r="F174" s="124">
        <v>9</v>
      </c>
      <c r="G174" s="197">
        <v>9</v>
      </c>
      <c r="H174" s="198">
        <f t="shared" si="46"/>
        <v>13.235929037012342</v>
      </c>
      <c r="I174" s="198">
        <f t="shared" si="44"/>
        <v>7.277381992063475</v>
      </c>
      <c r="J174" s="199">
        <f t="shared" si="47"/>
        <v>65.496437928571282</v>
      </c>
      <c r="K174" s="206">
        <f t="shared" si="41"/>
        <v>119.12336133311108</v>
      </c>
      <c r="L174" s="205">
        <f t="shared" si="53"/>
        <v>-53.626923404539795</v>
      </c>
      <c r="M174" s="202">
        <f t="shared" si="48"/>
        <v>-2.9284106582727425</v>
      </c>
      <c r="N174" s="203">
        <f t="shared" si="49"/>
        <v>-56.555334062812534</v>
      </c>
      <c r="O174" s="202">
        <v>0</v>
      </c>
      <c r="P174" s="202">
        <v>0</v>
      </c>
      <c r="Q174" s="202">
        <v>0</v>
      </c>
      <c r="R174" s="203">
        <f t="shared" si="50"/>
        <v>-56.555334062812534</v>
      </c>
    </row>
    <row r="175" spans="1:19" s="220" customFormat="1" x14ac:dyDescent="0.2">
      <c r="A175" s="160">
        <v>12</v>
      </c>
      <c r="B175" s="218">
        <f t="shared" si="45"/>
        <v>44896</v>
      </c>
      <c r="C175" s="216">
        <f t="shared" si="54"/>
        <v>44930</v>
      </c>
      <c r="D175" s="216">
        <f t="shared" si="54"/>
        <v>44950</v>
      </c>
      <c r="E175" s="225" t="s">
        <v>55</v>
      </c>
      <c r="F175" s="171">
        <v>9</v>
      </c>
      <c r="G175" s="207">
        <v>9</v>
      </c>
      <c r="H175" s="208">
        <f t="shared" si="46"/>
        <v>13.235929037012342</v>
      </c>
      <c r="I175" s="208">
        <f t="shared" si="44"/>
        <v>7.277381992063475</v>
      </c>
      <c r="J175" s="209">
        <f t="shared" si="47"/>
        <v>65.496437928571282</v>
      </c>
      <c r="K175" s="210">
        <f t="shared" si="41"/>
        <v>119.12336133311108</v>
      </c>
      <c r="L175" s="211">
        <f t="shared" si="53"/>
        <v>-53.626923404539795</v>
      </c>
      <c r="M175" s="202">
        <f t="shared" si="48"/>
        <v>-2.9284106582727425</v>
      </c>
      <c r="N175" s="203">
        <f t="shared" si="49"/>
        <v>-56.555334062812534</v>
      </c>
      <c r="O175" s="202">
        <v>0</v>
      </c>
      <c r="P175" s="202">
        <v>0</v>
      </c>
      <c r="Q175" s="202">
        <v>0</v>
      </c>
      <c r="R175" s="203">
        <f t="shared" si="50"/>
        <v>-56.555334062812534</v>
      </c>
    </row>
    <row r="176" spans="1:19" x14ac:dyDescent="0.2">
      <c r="A176" s="124">
        <v>1</v>
      </c>
      <c r="B176" s="195">
        <f t="shared" si="45"/>
        <v>44562</v>
      </c>
      <c r="C176" s="213">
        <f t="shared" ref="C176:D187" si="55">+C152</f>
        <v>44595</v>
      </c>
      <c r="D176" s="213">
        <f t="shared" si="55"/>
        <v>44615</v>
      </c>
      <c r="E176" s="223" t="s">
        <v>56</v>
      </c>
      <c r="F176" s="160">
        <v>9</v>
      </c>
      <c r="G176" s="197">
        <v>22</v>
      </c>
      <c r="H176" s="198">
        <f t="shared" si="46"/>
        <v>13.235929037012342</v>
      </c>
      <c r="I176" s="198">
        <f t="shared" si="44"/>
        <v>7.277381992063475</v>
      </c>
      <c r="J176" s="199">
        <f t="shared" si="47"/>
        <v>160.10240382539644</v>
      </c>
      <c r="K176" s="200">
        <f t="shared" si="41"/>
        <v>291.19043881427154</v>
      </c>
      <c r="L176" s="201">
        <f t="shared" si="53"/>
        <v>-131.08803498887511</v>
      </c>
      <c r="M176" s="202">
        <f t="shared" si="48"/>
        <v>-7.1583371646667029</v>
      </c>
      <c r="N176" s="203">
        <f t="shared" si="49"/>
        <v>-138.24637215354181</v>
      </c>
      <c r="O176" s="202">
        <v>0</v>
      </c>
      <c r="P176" s="202">
        <v>0</v>
      </c>
      <c r="Q176" s="202">
        <v>0</v>
      </c>
      <c r="R176" s="203">
        <f t="shared" si="50"/>
        <v>-138.24637215354181</v>
      </c>
    </row>
    <row r="177" spans="1:18" x14ac:dyDescent="0.2">
      <c r="A177" s="160">
        <v>2</v>
      </c>
      <c r="B177" s="195">
        <f t="shared" si="45"/>
        <v>44593</v>
      </c>
      <c r="C177" s="216">
        <f t="shared" si="55"/>
        <v>44623</v>
      </c>
      <c r="D177" s="216">
        <f t="shared" si="55"/>
        <v>44642</v>
      </c>
      <c r="E177" s="54" t="s">
        <v>56</v>
      </c>
      <c r="F177" s="160">
        <v>9</v>
      </c>
      <c r="G177" s="197">
        <v>22</v>
      </c>
      <c r="H177" s="198">
        <f t="shared" si="46"/>
        <v>13.235929037012342</v>
      </c>
      <c r="I177" s="198">
        <f t="shared" si="44"/>
        <v>7.277381992063475</v>
      </c>
      <c r="J177" s="199">
        <f t="shared" si="47"/>
        <v>160.10240382539644</v>
      </c>
      <c r="K177" s="200">
        <f t="shared" si="41"/>
        <v>291.19043881427154</v>
      </c>
      <c r="L177" s="201">
        <f t="shared" si="53"/>
        <v>-131.08803498887511</v>
      </c>
      <c r="M177" s="202">
        <f t="shared" si="48"/>
        <v>-7.1583371646667029</v>
      </c>
      <c r="N177" s="203">
        <f t="shared" si="49"/>
        <v>-138.24637215354181</v>
      </c>
      <c r="O177" s="202">
        <v>0</v>
      </c>
      <c r="P177" s="202">
        <v>0</v>
      </c>
      <c r="Q177" s="202">
        <v>0</v>
      </c>
      <c r="R177" s="203">
        <f t="shared" si="50"/>
        <v>-138.24637215354181</v>
      </c>
    </row>
    <row r="178" spans="1:18" x14ac:dyDescent="0.2">
      <c r="A178" s="160">
        <v>3</v>
      </c>
      <c r="B178" s="195">
        <f t="shared" si="45"/>
        <v>44621</v>
      </c>
      <c r="C178" s="216">
        <f t="shared" si="55"/>
        <v>44656</v>
      </c>
      <c r="D178" s="216">
        <f t="shared" si="55"/>
        <v>44676</v>
      </c>
      <c r="E178" s="54" t="s">
        <v>56</v>
      </c>
      <c r="F178" s="160">
        <v>9</v>
      </c>
      <c r="G178" s="197">
        <v>18</v>
      </c>
      <c r="H178" s="198">
        <f t="shared" si="46"/>
        <v>13.235929037012342</v>
      </c>
      <c r="I178" s="198">
        <f t="shared" si="44"/>
        <v>7.277381992063475</v>
      </c>
      <c r="J178" s="199">
        <f t="shared" si="47"/>
        <v>130.99287585714256</v>
      </c>
      <c r="K178" s="200">
        <f t="shared" si="41"/>
        <v>238.24672266622215</v>
      </c>
      <c r="L178" s="201">
        <f>+J178-K178</f>
        <v>-107.25384680907959</v>
      </c>
      <c r="M178" s="202">
        <f t="shared" si="48"/>
        <v>-5.856821316545485</v>
      </c>
      <c r="N178" s="203">
        <f t="shared" si="49"/>
        <v>-113.11066812562507</v>
      </c>
      <c r="O178" s="202">
        <v>0</v>
      </c>
      <c r="P178" s="202">
        <v>0</v>
      </c>
      <c r="Q178" s="202">
        <v>0</v>
      </c>
      <c r="R178" s="203">
        <f t="shared" si="50"/>
        <v>-113.11066812562507</v>
      </c>
    </row>
    <row r="179" spans="1:18" x14ac:dyDescent="0.2">
      <c r="A179" s="124">
        <v>4</v>
      </c>
      <c r="B179" s="195">
        <f t="shared" si="45"/>
        <v>44652</v>
      </c>
      <c r="C179" s="216">
        <f t="shared" si="55"/>
        <v>44685</v>
      </c>
      <c r="D179" s="216">
        <f t="shared" si="55"/>
        <v>44705</v>
      </c>
      <c r="E179" s="54" t="s">
        <v>56</v>
      </c>
      <c r="F179" s="160">
        <v>9</v>
      </c>
      <c r="G179" s="197">
        <v>21</v>
      </c>
      <c r="H179" s="198">
        <f t="shared" si="46"/>
        <v>13.235929037012342</v>
      </c>
      <c r="I179" s="198">
        <f t="shared" si="44"/>
        <v>7.277381992063475</v>
      </c>
      <c r="J179" s="199">
        <f t="shared" si="47"/>
        <v>152.82502183333298</v>
      </c>
      <c r="K179" s="200">
        <f t="shared" si="41"/>
        <v>277.9545097772592</v>
      </c>
      <c r="L179" s="201">
        <f t="shared" ref="L179:L189" si="56">+J179-K179</f>
        <v>-125.12948794392622</v>
      </c>
      <c r="M179" s="202">
        <f t="shared" si="48"/>
        <v>-6.8329582026363989</v>
      </c>
      <c r="N179" s="203">
        <f t="shared" si="49"/>
        <v>-131.96244614656263</v>
      </c>
      <c r="O179" s="202">
        <v>0</v>
      </c>
      <c r="P179" s="202">
        <v>0</v>
      </c>
      <c r="Q179" s="202">
        <v>0</v>
      </c>
      <c r="R179" s="203">
        <f t="shared" si="50"/>
        <v>-131.96244614656263</v>
      </c>
    </row>
    <row r="180" spans="1:18" x14ac:dyDescent="0.2">
      <c r="A180" s="160">
        <v>5</v>
      </c>
      <c r="B180" s="195">
        <f t="shared" si="45"/>
        <v>44682</v>
      </c>
      <c r="C180" s="216">
        <f t="shared" si="55"/>
        <v>44715</v>
      </c>
      <c r="D180" s="216">
        <f t="shared" si="55"/>
        <v>44735</v>
      </c>
      <c r="E180" s="54" t="s">
        <v>56</v>
      </c>
      <c r="F180" s="160">
        <v>9</v>
      </c>
      <c r="G180" s="197">
        <v>31</v>
      </c>
      <c r="H180" s="198">
        <f t="shared" si="46"/>
        <v>13.235929037012342</v>
      </c>
      <c r="I180" s="198">
        <f t="shared" ref="I180:I211" si="57">$J$3</f>
        <v>7.277381992063475</v>
      </c>
      <c r="J180" s="199">
        <f t="shared" si="47"/>
        <v>225.59884175396772</v>
      </c>
      <c r="K180" s="200">
        <f t="shared" si="41"/>
        <v>410.31380014738261</v>
      </c>
      <c r="L180" s="201">
        <f t="shared" si="56"/>
        <v>-184.71495839341489</v>
      </c>
      <c r="M180" s="202">
        <f t="shared" si="48"/>
        <v>-10.086747822939445</v>
      </c>
      <c r="N180" s="203">
        <f t="shared" si="49"/>
        <v>-194.80170621635435</v>
      </c>
      <c r="O180" s="202">
        <v>0</v>
      </c>
      <c r="P180" s="202">
        <v>0</v>
      </c>
      <c r="Q180" s="202">
        <v>0</v>
      </c>
      <c r="R180" s="203">
        <f t="shared" si="50"/>
        <v>-194.80170621635435</v>
      </c>
    </row>
    <row r="181" spans="1:18" x14ac:dyDescent="0.2">
      <c r="A181" s="160">
        <v>6</v>
      </c>
      <c r="B181" s="195">
        <f t="shared" si="45"/>
        <v>44713</v>
      </c>
      <c r="C181" s="216">
        <f t="shared" si="55"/>
        <v>44747</v>
      </c>
      <c r="D181" s="216">
        <f t="shared" si="55"/>
        <v>44767</v>
      </c>
      <c r="E181" s="54" t="s">
        <v>56</v>
      </c>
      <c r="F181" s="160">
        <v>9</v>
      </c>
      <c r="G181" s="197">
        <v>38</v>
      </c>
      <c r="H181" s="198">
        <f t="shared" si="46"/>
        <v>13.235929037012342</v>
      </c>
      <c r="I181" s="198">
        <f t="shared" si="57"/>
        <v>7.277381992063475</v>
      </c>
      <c r="J181" s="199">
        <f t="shared" si="47"/>
        <v>276.54051569841204</v>
      </c>
      <c r="K181" s="200">
        <f t="shared" si="41"/>
        <v>502.96530340646899</v>
      </c>
      <c r="L181" s="205">
        <f t="shared" si="56"/>
        <v>-226.42478770805695</v>
      </c>
      <c r="M181" s="202">
        <f t="shared" si="48"/>
        <v>-12.364400557151578</v>
      </c>
      <c r="N181" s="203">
        <f t="shared" si="49"/>
        <v>-238.78918826520854</v>
      </c>
      <c r="O181" s="202">
        <v>0</v>
      </c>
      <c r="P181" s="202">
        <v>0</v>
      </c>
      <c r="Q181" s="202">
        <v>0</v>
      </c>
      <c r="R181" s="203">
        <f t="shared" si="50"/>
        <v>-238.78918826520854</v>
      </c>
    </row>
    <row r="182" spans="1:18" x14ac:dyDescent="0.2">
      <c r="A182" s="124">
        <v>7</v>
      </c>
      <c r="B182" s="195">
        <f t="shared" si="45"/>
        <v>44743</v>
      </c>
      <c r="C182" s="216">
        <f t="shared" si="55"/>
        <v>44776</v>
      </c>
      <c r="D182" s="216">
        <f t="shared" si="55"/>
        <v>44796</v>
      </c>
      <c r="E182" s="54" t="s">
        <v>56</v>
      </c>
      <c r="F182" s="160">
        <v>9</v>
      </c>
      <c r="G182" s="197">
        <v>40</v>
      </c>
      <c r="H182" s="198">
        <f t="shared" si="46"/>
        <v>13.235929037012342</v>
      </c>
      <c r="I182" s="198">
        <f t="shared" si="57"/>
        <v>7.277381992063475</v>
      </c>
      <c r="J182" s="199">
        <f t="shared" si="47"/>
        <v>291.095279682539</v>
      </c>
      <c r="K182" s="206">
        <f t="shared" si="41"/>
        <v>529.43716148049373</v>
      </c>
      <c r="L182" s="205">
        <f t="shared" si="56"/>
        <v>-238.34188179795473</v>
      </c>
      <c r="M182" s="202">
        <f t="shared" si="48"/>
        <v>-13.015158481212188</v>
      </c>
      <c r="N182" s="203">
        <f t="shared" si="49"/>
        <v>-251.35704027916691</v>
      </c>
      <c r="O182" s="202">
        <v>0</v>
      </c>
      <c r="P182" s="202">
        <v>0</v>
      </c>
      <c r="Q182" s="202">
        <v>0</v>
      </c>
      <c r="R182" s="203">
        <f t="shared" si="50"/>
        <v>-251.35704027916691</v>
      </c>
    </row>
    <row r="183" spans="1:18" x14ac:dyDescent="0.2">
      <c r="A183" s="160">
        <v>8</v>
      </c>
      <c r="B183" s="195">
        <f t="shared" si="45"/>
        <v>44774</v>
      </c>
      <c r="C183" s="216">
        <f t="shared" si="55"/>
        <v>44809</v>
      </c>
      <c r="D183" s="216">
        <f t="shared" si="55"/>
        <v>44827</v>
      </c>
      <c r="E183" s="54" t="s">
        <v>56</v>
      </c>
      <c r="F183" s="160">
        <v>9</v>
      </c>
      <c r="G183" s="197">
        <v>38</v>
      </c>
      <c r="H183" s="198">
        <f t="shared" si="46"/>
        <v>13.235929037012342</v>
      </c>
      <c r="I183" s="198">
        <f t="shared" si="57"/>
        <v>7.277381992063475</v>
      </c>
      <c r="J183" s="199">
        <f t="shared" si="47"/>
        <v>276.54051569841204</v>
      </c>
      <c r="K183" s="206">
        <f t="shared" si="41"/>
        <v>502.96530340646899</v>
      </c>
      <c r="L183" s="205">
        <f t="shared" si="56"/>
        <v>-226.42478770805695</v>
      </c>
      <c r="M183" s="202">
        <f t="shared" si="48"/>
        <v>-12.364400557151578</v>
      </c>
      <c r="N183" s="203">
        <f t="shared" si="49"/>
        <v>-238.78918826520854</v>
      </c>
      <c r="O183" s="202">
        <v>0</v>
      </c>
      <c r="P183" s="202">
        <v>0</v>
      </c>
      <c r="Q183" s="202">
        <v>0</v>
      </c>
      <c r="R183" s="203">
        <f t="shared" si="50"/>
        <v>-238.78918826520854</v>
      </c>
    </row>
    <row r="184" spans="1:18" x14ac:dyDescent="0.2">
      <c r="A184" s="160">
        <v>9</v>
      </c>
      <c r="B184" s="195">
        <f t="shared" si="45"/>
        <v>44805</v>
      </c>
      <c r="C184" s="216">
        <f t="shared" si="55"/>
        <v>44839</v>
      </c>
      <c r="D184" s="216">
        <f t="shared" si="55"/>
        <v>44859</v>
      </c>
      <c r="E184" s="54" t="s">
        <v>56</v>
      </c>
      <c r="F184" s="160">
        <v>9</v>
      </c>
      <c r="G184" s="197">
        <v>35</v>
      </c>
      <c r="H184" s="198">
        <f t="shared" si="46"/>
        <v>13.235929037012342</v>
      </c>
      <c r="I184" s="198">
        <f t="shared" si="57"/>
        <v>7.277381992063475</v>
      </c>
      <c r="J184" s="199">
        <f t="shared" si="47"/>
        <v>254.70836972222162</v>
      </c>
      <c r="K184" s="206">
        <f t="shared" si="41"/>
        <v>463.25751629543197</v>
      </c>
      <c r="L184" s="205">
        <f t="shared" si="56"/>
        <v>-208.54914657321035</v>
      </c>
      <c r="M184" s="202">
        <f t="shared" si="48"/>
        <v>-11.388263671060663</v>
      </c>
      <c r="N184" s="203">
        <f t="shared" si="49"/>
        <v>-219.93741024427101</v>
      </c>
      <c r="O184" s="202">
        <v>0</v>
      </c>
      <c r="P184" s="202">
        <v>0</v>
      </c>
      <c r="Q184" s="202">
        <v>0</v>
      </c>
      <c r="R184" s="203">
        <f t="shared" si="50"/>
        <v>-219.93741024427101</v>
      </c>
    </row>
    <row r="185" spans="1:18" x14ac:dyDescent="0.2">
      <c r="A185" s="124">
        <v>10</v>
      </c>
      <c r="B185" s="195">
        <f t="shared" si="45"/>
        <v>44835</v>
      </c>
      <c r="C185" s="216">
        <f t="shared" si="55"/>
        <v>44868</v>
      </c>
      <c r="D185" s="216">
        <f t="shared" si="55"/>
        <v>44888</v>
      </c>
      <c r="E185" s="54" t="s">
        <v>56</v>
      </c>
      <c r="F185" s="160">
        <v>9</v>
      </c>
      <c r="G185" s="197">
        <v>23</v>
      </c>
      <c r="H185" s="198">
        <f t="shared" si="46"/>
        <v>13.235929037012342</v>
      </c>
      <c r="I185" s="198">
        <f t="shared" si="57"/>
        <v>7.277381992063475</v>
      </c>
      <c r="J185" s="199">
        <f t="shared" si="47"/>
        <v>167.37978581745992</v>
      </c>
      <c r="K185" s="206">
        <f t="shared" si="41"/>
        <v>304.42636785128389</v>
      </c>
      <c r="L185" s="205">
        <f t="shared" si="56"/>
        <v>-137.04658203382397</v>
      </c>
      <c r="M185" s="202">
        <f t="shared" si="48"/>
        <v>-7.4837161266970078</v>
      </c>
      <c r="N185" s="203">
        <f t="shared" si="49"/>
        <v>-144.53029816052097</v>
      </c>
      <c r="O185" s="202">
        <v>0</v>
      </c>
      <c r="P185" s="202">
        <v>0</v>
      </c>
      <c r="Q185" s="202">
        <v>0</v>
      </c>
      <c r="R185" s="203">
        <f t="shared" si="50"/>
        <v>-144.53029816052097</v>
      </c>
    </row>
    <row r="186" spans="1:18" x14ac:dyDescent="0.2">
      <c r="A186" s="160">
        <v>11</v>
      </c>
      <c r="B186" s="195">
        <f t="shared" si="45"/>
        <v>44866</v>
      </c>
      <c r="C186" s="216">
        <f t="shared" si="55"/>
        <v>44900</v>
      </c>
      <c r="D186" s="216">
        <f t="shared" si="55"/>
        <v>44918</v>
      </c>
      <c r="E186" s="54" t="s">
        <v>56</v>
      </c>
      <c r="F186" s="160">
        <v>9</v>
      </c>
      <c r="G186" s="197">
        <v>18</v>
      </c>
      <c r="H186" s="198">
        <f t="shared" si="46"/>
        <v>13.235929037012342</v>
      </c>
      <c r="I186" s="198">
        <f t="shared" si="57"/>
        <v>7.277381992063475</v>
      </c>
      <c r="J186" s="199">
        <f t="shared" si="47"/>
        <v>130.99287585714256</v>
      </c>
      <c r="K186" s="206">
        <f t="shared" si="41"/>
        <v>238.24672266622215</v>
      </c>
      <c r="L186" s="205">
        <f t="shared" si="56"/>
        <v>-107.25384680907959</v>
      </c>
      <c r="M186" s="202">
        <f t="shared" si="48"/>
        <v>-5.856821316545485</v>
      </c>
      <c r="N186" s="203">
        <f t="shared" si="49"/>
        <v>-113.11066812562507</v>
      </c>
      <c r="O186" s="202">
        <v>0</v>
      </c>
      <c r="P186" s="202">
        <v>0</v>
      </c>
      <c r="Q186" s="202">
        <v>0</v>
      </c>
      <c r="R186" s="203">
        <f t="shared" si="50"/>
        <v>-113.11066812562507</v>
      </c>
    </row>
    <row r="187" spans="1:18" s="220" customFormat="1" x14ac:dyDescent="0.2">
      <c r="A187" s="160">
        <v>12</v>
      </c>
      <c r="B187" s="218">
        <f t="shared" si="45"/>
        <v>44896</v>
      </c>
      <c r="C187" s="216">
        <f t="shared" si="55"/>
        <v>44930</v>
      </c>
      <c r="D187" s="216">
        <f t="shared" si="55"/>
        <v>44950</v>
      </c>
      <c r="E187" s="219" t="s">
        <v>56</v>
      </c>
      <c r="F187" s="171">
        <v>9</v>
      </c>
      <c r="G187" s="207">
        <v>27</v>
      </c>
      <c r="H187" s="208">
        <f t="shared" si="46"/>
        <v>13.235929037012342</v>
      </c>
      <c r="I187" s="208">
        <f t="shared" si="57"/>
        <v>7.277381992063475</v>
      </c>
      <c r="J187" s="209">
        <f t="shared" si="47"/>
        <v>196.48931378571382</v>
      </c>
      <c r="K187" s="210">
        <f t="shared" si="41"/>
        <v>357.37008399933325</v>
      </c>
      <c r="L187" s="211">
        <f t="shared" si="56"/>
        <v>-160.88077021361943</v>
      </c>
      <c r="M187" s="202">
        <f t="shared" si="48"/>
        <v>-8.7852319748182275</v>
      </c>
      <c r="N187" s="203">
        <f t="shared" si="49"/>
        <v>-169.66600218843766</v>
      </c>
      <c r="O187" s="202">
        <v>0</v>
      </c>
      <c r="P187" s="202">
        <v>0</v>
      </c>
      <c r="Q187" s="202">
        <v>0</v>
      </c>
      <c r="R187" s="203">
        <f t="shared" si="50"/>
        <v>-169.66600218843766</v>
      </c>
    </row>
    <row r="188" spans="1:18" x14ac:dyDescent="0.2">
      <c r="A188" s="124">
        <v>1</v>
      </c>
      <c r="B188" s="195">
        <f t="shared" si="45"/>
        <v>44562</v>
      </c>
      <c r="C188" s="213">
        <f t="shared" ref="C188:D211" si="58">+C176</f>
        <v>44595</v>
      </c>
      <c r="D188" s="213">
        <f t="shared" si="58"/>
        <v>44615</v>
      </c>
      <c r="E188" s="196" t="s">
        <v>57</v>
      </c>
      <c r="F188" s="124">
        <v>9</v>
      </c>
      <c r="G188" s="197">
        <v>37</v>
      </c>
      <c r="H188" s="198">
        <f t="shared" si="46"/>
        <v>13.235929037012342</v>
      </c>
      <c r="I188" s="198">
        <f t="shared" si="57"/>
        <v>7.277381992063475</v>
      </c>
      <c r="J188" s="199">
        <f t="shared" si="47"/>
        <v>269.26313370634858</v>
      </c>
      <c r="K188" s="200">
        <f t="shared" si="41"/>
        <v>489.72937436945665</v>
      </c>
      <c r="L188" s="201">
        <f t="shared" si="56"/>
        <v>-220.46624066310807</v>
      </c>
      <c r="M188" s="202">
        <f t="shared" si="48"/>
        <v>-12.039021595121273</v>
      </c>
      <c r="N188" s="203">
        <f t="shared" si="49"/>
        <v>-232.50526225822935</v>
      </c>
      <c r="O188" s="202">
        <v>0</v>
      </c>
      <c r="P188" s="202">
        <v>0</v>
      </c>
      <c r="Q188" s="202">
        <v>0</v>
      </c>
      <c r="R188" s="203">
        <f t="shared" si="50"/>
        <v>-232.50526225822935</v>
      </c>
    </row>
    <row r="189" spans="1:18" x14ac:dyDescent="0.2">
      <c r="A189" s="160">
        <v>2</v>
      </c>
      <c r="B189" s="195">
        <f t="shared" si="45"/>
        <v>44593</v>
      </c>
      <c r="C189" s="216">
        <f t="shared" si="58"/>
        <v>44623</v>
      </c>
      <c r="D189" s="216">
        <f t="shared" si="58"/>
        <v>44642</v>
      </c>
      <c r="E189" s="204" t="s">
        <v>57</v>
      </c>
      <c r="F189" s="160">
        <v>9</v>
      </c>
      <c r="G189" s="197">
        <v>37</v>
      </c>
      <c r="H189" s="198">
        <f t="shared" si="46"/>
        <v>13.235929037012342</v>
      </c>
      <c r="I189" s="198">
        <f t="shared" si="57"/>
        <v>7.277381992063475</v>
      </c>
      <c r="J189" s="199">
        <f t="shared" si="47"/>
        <v>269.26313370634858</v>
      </c>
      <c r="K189" s="200">
        <f t="shared" si="41"/>
        <v>489.72937436945665</v>
      </c>
      <c r="L189" s="201">
        <f t="shared" si="56"/>
        <v>-220.46624066310807</v>
      </c>
      <c r="M189" s="202">
        <f t="shared" si="48"/>
        <v>-12.039021595121273</v>
      </c>
      <c r="N189" s="203">
        <f t="shared" si="49"/>
        <v>-232.50526225822935</v>
      </c>
      <c r="O189" s="202">
        <v>0</v>
      </c>
      <c r="P189" s="202">
        <v>0</v>
      </c>
      <c r="Q189" s="202">
        <v>0</v>
      </c>
      <c r="R189" s="203">
        <f t="shared" si="50"/>
        <v>-232.50526225822935</v>
      </c>
    </row>
    <row r="190" spans="1:18" x14ac:dyDescent="0.2">
      <c r="A190" s="160">
        <v>3</v>
      </c>
      <c r="B190" s="195">
        <f t="shared" si="45"/>
        <v>44621</v>
      </c>
      <c r="C190" s="216">
        <f t="shared" si="58"/>
        <v>44656</v>
      </c>
      <c r="D190" s="216">
        <f t="shared" si="58"/>
        <v>44676</v>
      </c>
      <c r="E190" s="204" t="s">
        <v>57</v>
      </c>
      <c r="F190" s="160">
        <v>9</v>
      </c>
      <c r="G190" s="197">
        <v>25</v>
      </c>
      <c r="H190" s="198">
        <f t="shared" si="46"/>
        <v>13.235929037012342</v>
      </c>
      <c r="I190" s="198">
        <f t="shared" si="57"/>
        <v>7.277381992063475</v>
      </c>
      <c r="J190" s="199">
        <f t="shared" si="47"/>
        <v>181.93454980158688</v>
      </c>
      <c r="K190" s="200">
        <f t="shared" si="41"/>
        <v>330.89822592530857</v>
      </c>
      <c r="L190" s="201">
        <f>+J190-K190</f>
        <v>-148.96367612372168</v>
      </c>
      <c r="M190" s="202">
        <f t="shared" si="48"/>
        <v>-8.1344740507576176</v>
      </c>
      <c r="N190" s="203">
        <f t="shared" si="49"/>
        <v>-157.09815017447931</v>
      </c>
      <c r="O190" s="202">
        <v>0</v>
      </c>
      <c r="P190" s="202">
        <v>0</v>
      </c>
      <c r="Q190" s="202">
        <v>0</v>
      </c>
      <c r="R190" s="203">
        <f t="shared" si="50"/>
        <v>-157.09815017447931</v>
      </c>
    </row>
    <row r="191" spans="1:18" x14ac:dyDescent="0.2">
      <c r="A191" s="124">
        <v>4</v>
      </c>
      <c r="B191" s="195">
        <f t="shared" si="45"/>
        <v>44652</v>
      </c>
      <c r="C191" s="216">
        <f t="shared" si="58"/>
        <v>44685</v>
      </c>
      <c r="D191" s="216">
        <f t="shared" si="58"/>
        <v>44705</v>
      </c>
      <c r="E191" s="54" t="s">
        <v>57</v>
      </c>
      <c r="F191" s="160">
        <v>9</v>
      </c>
      <c r="G191" s="197">
        <v>31</v>
      </c>
      <c r="H191" s="198">
        <f t="shared" si="46"/>
        <v>13.235929037012342</v>
      </c>
      <c r="I191" s="198">
        <f t="shared" si="57"/>
        <v>7.277381992063475</v>
      </c>
      <c r="J191" s="199">
        <f t="shared" si="47"/>
        <v>225.59884175396772</v>
      </c>
      <c r="K191" s="200">
        <f t="shared" si="41"/>
        <v>410.31380014738261</v>
      </c>
      <c r="L191" s="201">
        <f t="shared" ref="L191:L201" si="59">+J191-K191</f>
        <v>-184.71495839341489</v>
      </c>
      <c r="M191" s="202">
        <f t="shared" si="48"/>
        <v>-10.086747822939445</v>
      </c>
      <c r="N191" s="203">
        <f t="shared" si="49"/>
        <v>-194.80170621635435</v>
      </c>
      <c r="O191" s="202">
        <v>0</v>
      </c>
      <c r="P191" s="202">
        <v>0</v>
      </c>
      <c r="Q191" s="202">
        <v>0</v>
      </c>
      <c r="R191" s="203">
        <f t="shared" si="50"/>
        <v>-194.80170621635435</v>
      </c>
    </row>
    <row r="192" spans="1:18" x14ac:dyDescent="0.2">
      <c r="A192" s="160">
        <v>5</v>
      </c>
      <c r="B192" s="195">
        <f t="shared" si="45"/>
        <v>44682</v>
      </c>
      <c r="C192" s="216">
        <f t="shared" si="58"/>
        <v>44715</v>
      </c>
      <c r="D192" s="216">
        <f t="shared" si="58"/>
        <v>44735</v>
      </c>
      <c r="E192" s="54" t="s">
        <v>57</v>
      </c>
      <c r="F192" s="160">
        <v>9</v>
      </c>
      <c r="G192" s="197">
        <v>40</v>
      </c>
      <c r="H192" s="198">
        <f t="shared" si="46"/>
        <v>13.235929037012342</v>
      </c>
      <c r="I192" s="198">
        <f t="shared" si="57"/>
        <v>7.277381992063475</v>
      </c>
      <c r="J192" s="199">
        <f t="shared" si="47"/>
        <v>291.095279682539</v>
      </c>
      <c r="K192" s="200">
        <f t="shared" si="41"/>
        <v>529.43716148049373</v>
      </c>
      <c r="L192" s="201">
        <f t="shared" si="59"/>
        <v>-238.34188179795473</v>
      </c>
      <c r="M192" s="202">
        <f t="shared" si="48"/>
        <v>-13.015158481212188</v>
      </c>
      <c r="N192" s="203">
        <f t="shared" si="49"/>
        <v>-251.35704027916691</v>
      </c>
      <c r="O192" s="202">
        <v>0</v>
      </c>
      <c r="P192" s="202">
        <v>0</v>
      </c>
      <c r="Q192" s="202">
        <v>0</v>
      </c>
      <c r="R192" s="203">
        <f t="shared" si="50"/>
        <v>-251.35704027916691</v>
      </c>
    </row>
    <row r="193" spans="1:18" x14ac:dyDescent="0.2">
      <c r="A193" s="160">
        <v>6</v>
      </c>
      <c r="B193" s="195">
        <f t="shared" si="45"/>
        <v>44713</v>
      </c>
      <c r="C193" s="216">
        <f t="shared" si="58"/>
        <v>44747</v>
      </c>
      <c r="D193" s="216">
        <f t="shared" si="58"/>
        <v>44767</v>
      </c>
      <c r="E193" s="54" t="s">
        <v>57</v>
      </c>
      <c r="F193" s="160">
        <v>9</v>
      </c>
      <c r="G193" s="197">
        <v>48</v>
      </c>
      <c r="H193" s="198">
        <f t="shared" si="46"/>
        <v>13.235929037012342</v>
      </c>
      <c r="I193" s="198">
        <f t="shared" si="57"/>
        <v>7.277381992063475</v>
      </c>
      <c r="J193" s="199">
        <f t="shared" si="47"/>
        <v>349.3143356190468</v>
      </c>
      <c r="K193" s="200">
        <f t="shared" si="41"/>
        <v>635.32459377659245</v>
      </c>
      <c r="L193" s="205">
        <f t="shared" si="59"/>
        <v>-286.01025815754565</v>
      </c>
      <c r="M193" s="202">
        <f t="shared" si="48"/>
        <v>-15.618190177454625</v>
      </c>
      <c r="N193" s="203">
        <f t="shared" si="49"/>
        <v>-301.62844833500026</v>
      </c>
      <c r="O193" s="202">
        <v>0</v>
      </c>
      <c r="P193" s="202">
        <v>0</v>
      </c>
      <c r="Q193" s="202">
        <v>0</v>
      </c>
      <c r="R193" s="203">
        <f t="shared" si="50"/>
        <v>-301.62844833500026</v>
      </c>
    </row>
    <row r="194" spans="1:18" x14ac:dyDescent="0.2">
      <c r="A194" s="124">
        <v>7</v>
      </c>
      <c r="B194" s="195">
        <f t="shared" si="45"/>
        <v>44743</v>
      </c>
      <c r="C194" s="216">
        <f t="shared" si="58"/>
        <v>44776</v>
      </c>
      <c r="D194" s="216">
        <f t="shared" si="58"/>
        <v>44796</v>
      </c>
      <c r="E194" s="54" t="s">
        <v>57</v>
      </c>
      <c r="F194" s="160">
        <v>9</v>
      </c>
      <c r="G194" s="197">
        <v>52</v>
      </c>
      <c r="H194" s="198">
        <f t="shared" si="46"/>
        <v>13.235929037012342</v>
      </c>
      <c r="I194" s="198">
        <f t="shared" si="57"/>
        <v>7.277381992063475</v>
      </c>
      <c r="J194" s="199">
        <f t="shared" si="47"/>
        <v>378.42386358730073</v>
      </c>
      <c r="K194" s="206">
        <f t="shared" si="41"/>
        <v>688.26830992464181</v>
      </c>
      <c r="L194" s="205">
        <f t="shared" si="59"/>
        <v>-309.84444633734108</v>
      </c>
      <c r="M194" s="202">
        <f t="shared" si="48"/>
        <v>-16.919706025575845</v>
      </c>
      <c r="N194" s="203">
        <f t="shared" si="49"/>
        <v>-326.76415236291695</v>
      </c>
      <c r="O194" s="202">
        <v>0</v>
      </c>
      <c r="P194" s="202">
        <v>0</v>
      </c>
      <c r="Q194" s="202">
        <v>0</v>
      </c>
      <c r="R194" s="203">
        <f t="shared" si="50"/>
        <v>-326.76415236291695</v>
      </c>
    </row>
    <row r="195" spans="1:18" x14ac:dyDescent="0.2">
      <c r="A195" s="160">
        <v>8</v>
      </c>
      <c r="B195" s="195">
        <f t="shared" si="45"/>
        <v>44774</v>
      </c>
      <c r="C195" s="216">
        <f t="shared" si="58"/>
        <v>44809</v>
      </c>
      <c r="D195" s="216">
        <f t="shared" si="58"/>
        <v>44827</v>
      </c>
      <c r="E195" s="54" t="s">
        <v>57</v>
      </c>
      <c r="F195" s="160">
        <v>9</v>
      </c>
      <c r="G195" s="197">
        <v>50</v>
      </c>
      <c r="H195" s="198">
        <f t="shared" si="46"/>
        <v>13.235929037012342</v>
      </c>
      <c r="I195" s="198">
        <f t="shared" si="57"/>
        <v>7.277381992063475</v>
      </c>
      <c r="J195" s="199">
        <f t="shared" si="47"/>
        <v>363.86909960317377</v>
      </c>
      <c r="K195" s="206">
        <f t="shared" si="41"/>
        <v>661.79645185061713</v>
      </c>
      <c r="L195" s="205">
        <f t="shared" si="59"/>
        <v>-297.92735224744337</v>
      </c>
      <c r="M195" s="202">
        <f t="shared" si="48"/>
        <v>-16.268948101515235</v>
      </c>
      <c r="N195" s="203">
        <f t="shared" si="49"/>
        <v>-314.19630034895863</v>
      </c>
      <c r="O195" s="202">
        <v>0</v>
      </c>
      <c r="P195" s="202">
        <v>0</v>
      </c>
      <c r="Q195" s="202">
        <v>0</v>
      </c>
      <c r="R195" s="203">
        <f t="shared" si="50"/>
        <v>-314.19630034895863</v>
      </c>
    </row>
    <row r="196" spans="1:18" x14ac:dyDescent="0.2">
      <c r="A196" s="160">
        <v>9</v>
      </c>
      <c r="B196" s="195">
        <f t="shared" si="45"/>
        <v>44805</v>
      </c>
      <c r="C196" s="216">
        <f t="shared" si="58"/>
        <v>44839</v>
      </c>
      <c r="D196" s="216">
        <f t="shared" si="58"/>
        <v>44859</v>
      </c>
      <c r="E196" s="54" t="s">
        <v>57</v>
      </c>
      <c r="F196" s="160">
        <v>9</v>
      </c>
      <c r="G196" s="197">
        <v>47</v>
      </c>
      <c r="H196" s="198">
        <f t="shared" si="46"/>
        <v>13.235929037012342</v>
      </c>
      <c r="I196" s="198">
        <f t="shared" si="57"/>
        <v>7.277381992063475</v>
      </c>
      <c r="J196" s="199">
        <f t="shared" si="47"/>
        <v>342.03695362698335</v>
      </c>
      <c r="K196" s="206">
        <f t="shared" si="41"/>
        <v>622.08866473958005</v>
      </c>
      <c r="L196" s="205">
        <f t="shared" si="59"/>
        <v>-280.05171111259671</v>
      </c>
      <c r="M196" s="202">
        <f t="shared" si="48"/>
        <v>-15.292811215424321</v>
      </c>
      <c r="N196" s="203">
        <f t="shared" si="49"/>
        <v>-295.34452232802101</v>
      </c>
      <c r="O196" s="202">
        <v>0</v>
      </c>
      <c r="P196" s="202">
        <v>0</v>
      </c>
      <c r="Q196" s="202">
        <v>0</v>
      </c>
      <c r="R196" s="203">
        <f t="shared" si="50"/>
        <v>-295.34452232802101</v>
      </c>
    </row>
    <row r="197" spans="1:18" x14ac:dyDescent="0.2">
      <c r="A197" s="124">
        <v>10</v>
      </c>
      <c r="B197" s="195">
        <f t="shared" si="45"/>
        <v>44835</v>
      </c>
      <c r="C197" s="216">
        <f t="shared" si="58"/>
        <v>44868</v>
      </c>
      <c r="D197" s="216">
        <f t="shared" si="58"/>
        <v>44888</v>
      </c>
      <c r="E197" s="54" t="s">
        <v>57</v>
      </c>
      <c r="F197" s="160">
        <v>9</v>
      </c>
      <c r="G197" s="197">
        <v>35</v>
      </c>
      <c r="H197" s="198">
        <f t="shared" si="46"/>
        <v>13.235929037012342</v>
      </c>
      <c r="I197" s="198">
        <f t="shared" si="57"/>
        <v>7.277381992063475</v>
      </c>
      <c r="J197" s="199">
        <f t="shared" si="47"/>
        <v>254.70836972222162</v>
      </c>
      <c r="K197" s="206">
        <f t="shared" si="41"/>
        <v>463.25751629543197</v>
      </c>
      <c r="L197" s="205">
        <f t="shared" si="59"/>
        <v>-208.54914657321035</v>
      </c>
      <c r="M197" s="202">
        <f t="shared" si="48"/>
        <v>-11.388263671060663</v>
      </c>
      <c r="N197" s="203">
        <f t="shared" si="49"/>
        <v>-219.93741024427101</v>
      </c>
      <c r="O197" s="202">
        <v>0</v>
      </c>
      <c r="P197" s="202">
        <v>0</v>
      </c>
      <c r="Q197" s="202">
        <v>0</v>
      </c>
      <c r="R197" s="203">
        <f t="shared" si="50"/>
        <v>-219.93741024427101</v>
      </c>
    </row>
    <row r="198" spans="1:18" x14ac:dyDescent="0.2">
      <c r="A198" s="160">
        <v>11</v>
      </c>
      <c r="B198" s="195">
        <f t="shared" si="45"/>
        <v>44866</v>
      </c>
      <c r="C198" s="216">
        <f t="shared" si="58"/>
        <v>44900</v>
      </c>
      <c r="D198" s="216">
        <f t="shared" si="58"/>
        <v>44918</v>
      </c>
      <c r="E198" s="54" t="s">
        <v>57</v>
      </c>
      <c r="F198" s="160">
        <v>9</v>
      </c>
      <c r="G198" s="197">
        <v>34</v>
      </c>
      <c r="H198" s="198">
        <f t="shared" si="46"/>
        <v>13.235929037012342</v>
      </c>
      <c r="I198" s="198">
        <f t="shared" si="57"/>
        <v>7.277381992063475</v>
      </c>
      <c r="J198" s="199">
        <f t="shared" si="47"/>
        <v>247.43098773015817</v>
      </c>
      <c r="K198" s="206">
        <f t="shared" ref="K198:K209" si="60">+$G198*H198</f>
        <v>450.02158725841963</v>
      </c>
      <c r="L198" s="205">
        <f t="shared" si="59"/>
        <v>-202.59059952826146</v>
      </c>
      <c r="M198" s="202">
        <f t="shared" si="48"/>
        <v>-11.06288470903036</v>
      </c>
      <c r="N198" s="203">
        <f t="shared" si="49"/>
        <v>-213.65348423729182</v>
      </c>
      <c r="O198" s="202">
        <v>0</v>
      </c>
      <c r="P198" s="202">
        <v>0</v>
      </c>
      <c r="Q198" s="202">
        <v>0</v>
      </c>
      <c r="R198" s="203">
        <f t="shared" si="50"/>
        <v>-213.65348423729182</v>
      </c>
    </row>
    <row r="199" spans="1:18" s="220" customFormat="1" x14ac:dyDescent="0.2">
      <c r="A199" s="160">
        <v>12</v>
      </c>
      <c r="B199" s="218">
        <f t="shared" si="45"/>
        <v>44896</v>
      </c>
      <c r="C199" s="216">
        <f t="shared" si="58"/>
        <v>44930</v>
      </c>
      <c r="D199" s="216">
        <f t="shared" si="58"/>
        <v>44950</v>
      </c>
      <c r="E199" s="219" t="s">
        <v>57</v>
      </c>
      <c r="F199" s="171">
        <v>9</v>
      </c>
      <c r="G199" s="207">
        <v>34</v>
      </c>
      <c r="H199" s="208">
        <f t="shared" si="46"/>
        <v>13.235929037012342</v>
      </c>
      <c r="I199" s="208">
        <f t="shared" si="57"/>
        <v>7.277381992063475</v>
      </c>
      <c r="J199" s="209">
        <f t="shared" si="47"/>
        <v>247.43098773015817</v>
      </c>
      <c r="K199" s="210">
        <f t="shared" si="60"/>
        <v>450.02158725841963</v>
      </c>
      <c r="L199" s="211">
        <f t="shared" si="59"/>
        <v>-202.59059952826146</v>
      </c>
      <c r="M199" s="202">
        <f t="shared" si="48"/>
        <v>-11.06288470903036</v>
      </c>
      <c r="N199" s="203">
        <f t="shared" si="49"/>
        <v>-213.65348423729182</v>
      </c>
      <c r="O199" s="202">
        <v>0</v>
      </c>
      <c r="P199" s="202">
        <v>0</v>
      </c>
      <c r="Q199" s="202">
        <v>0</v>
      </c>
      <c r="R199" s="203">
        <f t="shared" si="50"/>
        <v>-213.65348423729182</v>
      </c>
    </row>
    <row r="200" spans="1:18" x14ac:dyDescent="0.2">
      <c r="A200" s="124">
        <v>1</v>
      </c>
      <c r="B200" s="195">
        <f t="shared" si="45"/>
        <v>44562</v>
      </c>
      <c r="C200" s="213">
        <f t="shared" si="58"/>
        <v>44595</v>
      </c>
      <c r="D200" s="213">
        <f t="shared" si="58"/>
        <v>44615</v>
      </c>
      <c r="E200" s="196" t="s">
        <v>17</v>
      </c>
      <c r="F200" s="124">
        <v>9</v>
      </c>
      <c r="G200" s="197">
        <v>106</v>
      </c>
      <c r="H200" s="198">
        <f t="shared" si="46"/>
        <v>13.235929037012342</v>
      </c>
      <c r="I200" s="198">
        <f t="shared" si="57"/>
        <v>7.277381992063475</v>
      </c>
      <c r="J200" s="199">
        <f t="shared" si="47"/>
        <v>771.40249115872837</v>
      </c>
      <c r="K200" s="200">
        <f t="shared" si="60"/>
        <v>1403.0084779233082</v>
      </c>
      <c r="L200" s="201">
        <f t="shared" si="59"/>
        <v>-631.60598676457982</v>
      </c>
      <c r="M200" s="202">
        <f t="shared" si="48"/>
        <v>-34.490169975212297</v>
      </c>
      <c r="N200" s="203">
        <f t="shared" si="49"/>
        <v>-666.09615673979215</v>
      </c>
      <c r="O200" s="202">
        <v>0</v>
      </c>
      <c r="P200" s="202">
        <v>0</v>
      </c>
      <c r="Q200" s="202">
        <v>0</v>
      </c>
      <c r="R200" s="203">
        <f t="shared" si="50"/>
        <v>-666.09615673979215</v>
      </c>
    </row>
    <row r="201" spans="1:18" x14ac:dyDescent="0.2">
      <c r="A201" s="160">
        <v>2</v>
      </c>
      <c r="B201" s="195">
        <f t="shared" si="45"/>
        <v>44593</v>
      </c>
      <c r="C201" s="216">
        <f t="shared" si="58"/>
        <v>44623</v>
      </c>
      <c r="D201" s="216">
        <f t="shared" si="58"/>
        <v>44642</v>
      </c>
      <c r="E201" s="204" t="s">
        <v>17</v>
      </c>
      <c r="F201" s="160">
        <v>9</v>
      </c>
      <c r="G201" s="197">
        <v>101</v>
      </c>
      <c r="H201" s="198">
        <f t="shared" si="46"/>
        <v>13.235929037012342</v>
      </c>
      <c r="I201" s="198">
        <f t="shared" si="57"/>
        <v>7.277381992063475</v>
      </c>
      <c r="J201" s="199">
        <f t="shared" si="47"/>
        <v>735.01558119841093</v>
      </c>
      <c r="K201" s="200">
        <f t="shared" si="60"/>
        <v>1336.8288327382465</v>
      </c>
      <c r="L201" s="201">
        <f t="shared" si="59"/>
        <v>-601.81325153983562</v>
      </c>
      <c r="M201" s="202">
        <f t="shared" si="48"/>
        <v>-32.863275165060777</v>
      </c>
      <c r="N201" s="203">
        <f t="shared" si="49"/>
        <v>-634.67652670489645</v>
      </c>
      <c r="O201" s="202">
        <v>0</v>
      </c>
      <c r="P201" s="202">
        <v>0</v>
      </c>
      <c r="Q201" s="202">
        <v>0</v>
      </c>
      <c r="R201" s="203">
        <f t="shared" si="50"/>
        <v>-634.67652670489645</v>
      </c>
    </row>
    <row r="202" spans="1:18" x14ac:dyDescent="0.2">
      <c r="A202" s="160">
        <v>3</v>
      </c>
      <c r="B202" s="195">
        <f t="shared" si="45"/>
        <v>44621</v>
      </c>
      <c r="C202" s="216">
        <f t="shared" si="58"/>
        <v>44656</v>
      </c>
      <c r="D202" s="216">
        <f t="shared" si="58"/>
        <v>44676</v>
      </c>
      <c r="E202" s="204" t="s">
        <v>17</v>
      </c>
      <c r="F202" s="160">
        <v>9</v>
      </c>
      <c r="G202" s="197">
        <v>97</v>
      </c>
      <c r="H202" s="198">
        <f t="shared" si="46"/>
        <v>13.235929037012342</v>
      </c>
      <c r="I202" s="198">
        <f t="shared" si="57"/>
        <v>7.277381992063475</v>
      </c>
      <c r="J202" s="199">
        <f t="shared" si="47"/>
        <v>705.90605323015711</v>
      </c>
      <c r="K202" s="200">
        <f t="shared" si="60"/>
        <v>1283.8851165901972</v>
      </c>
      <c r="L202" s="201">
        <f>+J202-K202</f>
        <v>-577.97906336004007</v>
      </c>
      <c r="M202" s="202">
        <f t="shared" si="48"/>
        <v>-31.561759316939554</v>
      </c>
      <c r="N202" s="203">
        <f t="shared" si="49"/>
        <v>-609.54082267697959</v>
      </c>
      <c r="O202" s="202">
        <v>0</v>
      </c>
      <c r="P202" s="202">
        <v>0</v>
      </c>
      <c r="Q202" s="202">
        <v>0</v>
      </c>
      <c r="R202" s="203">
        <f t="shared" si="50"/>
        <v>-609.54082267697959</v>
      </c>
    </row>
    <row r="203" spans="1:18" x14ac:dyDescent="0.2">
      <c r="A203" s="124">
        <v>4</v>
      </c>
      <c r="B203" s="195">
        <f t="shared" si="45"/>
        <v>44652</v>
      </c>
      <c r="C203" s="216">
        <f t="shared" si="58"/>
        <v>44685</v>
      </c>
      <c r="D203" s="216">
        <f t="shared" si="58"/>
        <v>44705</v>
      </c>
      <c r="E203" s="204" t="s">
        <v>17</v>
      </c>
      <c r="F203" s="160">
        <v>9</v>
      </c>
      <c r="G203" s="197">
        <v>98</v>
      </c>
      <c r="H203" s="198">
        <f t="shared" si="46"/>
        <v>13.235929037012342</v>
      </c>
      <c r="I203" s="198">
        <f t="shared" si="57"/>
        <v>7.277381992063475</v>
      </c>
      <c r="J203" s="199">
        <f t="shared" si="47"/>
        <v>713.18343522222051</v>
      </c>
      <c r="K203" s="200">
        <f t="shared" si="60"/>
        <v>1297.1210456272095</v>
      </c>
      <c r="L203" s="201">
        <f t="shared" ref="L203:L211" si="61">+J203-K203</f>
        <v>-583.93761040498896</v>
      </c>
      <c r="M203" s="202">
        <f t="shared" si="48"/>
        <v>-31.887138278969861</v>
      </c>
      <c r="N203" s="203">
        <f t="shared" si="49"/>
        <v>-615.82474868395877</v>
      </c>
      <c r="O203" s="202">
        <v>0</v>
      </c>
      <c r="P203" s="202">
        <v>0</v>
      </c>
      <c r="Q203" s="202">
        <v>0</v>
      </c>
      <c r="R203" s="203">
        <f t="shared" si="50"/>
        <v>-615.82474868395877</v>
      </c>
    </row>
    <row r="204" spans="1:18" x14ac:dyDescent="0.2">
      <c r="A204" s="160">
        <v>5</v>
      </c>
      <c r="B204" s="195">
        <f t="shared" si="45"/>
        <v>44682</v>
      </c>
      <c r="C204" s="216">
        <f t="shared" si="58"/>
        <v>44715</v>
      </c>
      <c r="D204" s="216">
        <f t="shared" si="58"/>
        <v>44735</v>
      </c>
      <c r="E204" s="54" t="s">
        <v>17</v>
      </c>
      <c r="F204" s="160">
        <v>9</v>
      </c>
      <c r="G204" s="197">
        <v>104</v>
      </c>
      <c r="H204" s="198">
        <f t="shared" si="46"/>
        <v>13.235929037012342</v>
      </c>
      <c r="I204" s="198">
        <f t="shared" si="57"/>
        <v>7.277381992063475</v>
      </c>
      <c r="J204" s="199">
        <f t="shared" si="47"/>
        <v>756.84772717460146</v>
      </c>
      <c r="K204" s="200">
        <f t="shared" si="60"/>
        <v>1376.5366198492836</v>
      </c>
      <c r="L204" s="201">
        <f t="shared" si="61"/>
        <v>-619.68889267468217</v>
      </c>
      <c r="M204" s="202">
        <f t="shared" si="48"/>
        <v>-33.83941205115169</v>
      </c>
      <c r="N204" s="203">
        <f t="shared" si="49"/>
        <v>-653.52830472583389</v>
      </c>
      <c r="O204" s="202">
        <v>0</v>
      </c>
      <c r="P204" s="202">
        <v>0</v>
      </c>
      <c r="Q204" s="202">
        <v>0</v>
      </c>
      <c r="R204" s="203">
        <f t="shared" si="50"/>
        <v>-653.52830472583389</v>
      </c>
    </row>
    <row r="205" spans="1:18" x14ac:dyDescent="0.2">
      <c r="A205" s="160">
        <v>6</v>
      </c>
      <c r="B205" s="195">
        <f t="shared" si="45"/>
        <v>44713</v>
      </c>
      <c r="C205" s="216">
        <f t="shared" si="58"/>
        <v>44747</v>
      </c>
      <c r="D205" s="216">
        <f t="shared" si="58"/>
        <v>44767</v>
      </c>
      <c r="E205" s="54" t="s">
        <v>17</v>
      </c>
      <c r="F205" s="160">
        <v>9</v>
      </c>
      <c r="G205" s="197">
        <v>115</v>
      </c>
      <c r="H205" s="198">
        <f t="shared" si="46"/>
        <v>13.235929037012342</v>
      </c>
      <c r="I205" s="198">
        <f t="shared" si="57"/>
        <v>7.277381992063475</v>
      </c>
      <c r="J205" s="199">
        <f t="shared" si="47"/>
        <v>836.89892908729962</v>
      </c>
      <c r="K205" s="200">
        <f t="shared" si="60"/>
        <v>1522.1318392564194</v>
      </c>
      <c r="L205" s="205">
        <f t="shared" si="61"/>
        <v>-685.2329101691198</v>
      </c>
      <c r="M205" s="202">
        <f t="shared" si="48"/>
        <v>-37.418580633485043</v>
      </c>
      <c r="N205" s="203">
        <f t="shared" si="49"/>
        <v>-722.65149080260483</v>
      </c>
      <c r="O205" s="202">
        <v>0</v>
      </c>
      <c r="P205" s="202">
        <v>0</v>
      </c>
      <c r="Q205" s="202">
        <v>0</v>
      </c>
      <c r="R205" s="203">
        <f t="shared" si="50"/>
        <v>-722.65149080260483</v>
      </c>
    </row>
    <row r="206" spans="1:18" x14ac:dyDescent="0.2">
      <c r="A206" s="124">
        <v>7</v>
      </c>
      <c r="B206" s="195">
        <f t="shared" si="45"/>
        <v>44743</v>
      </c>
      <c r="C206" s="216">
        <f t="shared" si="58"/>
        <v>44776</v>
      </c>
      <c r="D206" s="216">
        <f t="shared" si="58"/>
        <v>44796</v>
      </c>
      <c r="E206" s="54" t="s">
        <v>17</v>
      </c>
      <c r="F206" s="160">
        <v>9</v>
      </c>
      <c r="G206" s="197">
        <v>42</v>
      </c>
      <c r="H206" s="198">
        <f t="shared" si="46"/>
        <v>13.235929037012342</v>
      </c>
      <c r="I206" s="198">
        <f t="shared" si="57"/>
        <v>7.277381992063475</v>
      </c>
      <c r="J206" s="199">
        <f t="shared" si="47"/>
        <v>305.65004366666597</v>
      </c>
      <c r="K206" s="206">
        <f t="shared" si="60"/>
        <v>555.90901955451841</v>
      </c>
      <c r="L206" s="205">
        <f t="shared" si="61"/>
        <v>-250.25897588785244</v>
      </c>
      <c r="M206" s="202">
        <f t="shared" si="48"/>
        <v>-13.665916405272798</v>
      </c>
      <c r="N206" s="203">
        <f t="shared" si="49"/>
        <v>-263.92489229312525</v>
      </c>
      <c r="O206" s="202">
        <v>0</v>
      </c>
      <c r="P206" s="202">
        <v>0</v>
      </c>
      <c r="Q206" s="202">
        <v>0</v>
      </c>
      <c r="R206" s="203">
        <f t="shared" si="50"/>
        <v>-263.92489229312525</v>
      </c>
    </row>
    <row r="207" spans="1:18" x14ac:dyDescent="0.2">
      <c r="A207" s="160">
        <v>8</v>
      </c>
      <c r="B207" s="195">
        <f t="shared" si="45"/>
        <v>44774</v>
      </c>
      <c r="C207" s="216">
        <f t="shared" si="58"/>
        <v>44809</v>
      </c>
      <c r="D207" s="216">
        <f t="shared" si="58"/>
        <v>44827</v>
      </c>
      <c r="E207" s="54" t="s">
        <v>17</v>
      </c>
      <c r="F207" s="160">
        <v>9</v>
      </c>
      <c r="G207" s="197">
        <v>41</v>
      </c>
      <c r="H207" s="198">
        <f t="shared" si="46"/>
        <v>13.235929037012342</v>
      </c>
      <c r="I207" s="198">
        <f t="shared" si="57"/>
        <v>7.277381992063475</v>
      </c>
      <c r="J207" s="199">
        <f t="shared" si="47"/>
        <v>298.37266167460245</v>
      </c>
      <c r="K207" s="206">
        <f t="shared" si="60"/>
        <v>542.67309051750601</v>
      </c>
      <c r="L207" s="205">
        <f t="shared" si="61"/>
        <v>-244.30042884290356</v>
      </c>
      <c r="M207" s="202">
        <f t="shared" si="48"/>
        <v>-13.340537443242491</v>
      </c>
      <c r="N207" s="203">
        <f t="shared" si="49"/>
        <v>-257.64096628614607</v>
      </c>
      <c r="O207" s="202">
        <v>0</v>
      </c>
      <c r="P207" s="202">
        <v>0</v>
      </c>
      <c r="Q207" s="202">
        <v>0</v>
      </c>
      <c r="R207" s="203">
        <f t="shared" si="50"/>
        <v>-257.64096628614607</v>
      </c>
    </row>
    <row r="208" spans="1:18" x14ac:dyDescent="0.2">
      <c r="A208" s="160">
        <v>9</v>
      </c>
      <c r="B208" s="195">
        <f t="shared" si="45"/>
        <v>44805</v>
      </c>
      <c r="C208" s="216">
        <f t="shared" si="58"/>
        <v>44839</v>
      </c>
      <c r="D208" s="216">
        <f t="shared" si="58"/>
        <v>44859</v>
      </c>
      <c r="E208" s="54" t="s">
        <v>17</v>
      </c>
      <c r="F208" s="160">
        <v>9</v>
      </c>
      <c r="G208" s="197">
        <v>115</v>
      </c>
      <c r="H208" s="198">
        <f t="shared" si="46"/>
        <v>13.235929037012342</v>
      </c>
      <c r="I208" s="198">
        <f t="shared" si="57"/>
        <v>7.277381992063475</v>
      </c>
      <c r="J208" s="199">
        <f t="shared" si="47"/>
        <v>836.89892908729962</v>
      </c>
      <c r="K208" s="206">
        <f t="shared" si="60"/>
        <v>1522.1318392564194</v>
      </c>
      <c r="L208" s="205">
        <f t="shared" si="61"/>
        <v>-685.2329101691198</v>
      </c>
      <c r="M208" s="202">
        <f t="shared" si="48"/>
        <v>-37.418580633485043</v>
      </c>
      <c r="N208" s="203">
        <f t="shared" si="49"/>
        <v>-722.65149080260483</v>
      </c>
      <c r="O208" s="202">
        <v>0</v>
      </c>
      <c r="P208" s="202">
        <v>0</v>
      </c>
      <c r="Q208" s="202">
        <v>0</v>
      </c>
      <c r="R208" s="203">
        <f t="shared" si="50"/>
        <v>-722.65149080260483</v>
      </c>
    </row>
    <row r="209" spans="1:18" x14ac:dyDescent="0.2">
      <c r="A209" s="124">
        <v>10</v>
      </c>
      <c r="B209" s="195">
        <f t="shared" si="45"/>
        <v>44835</v>
      </c>
      <c r="C209" s="216">
        <f t="shared" si="58"/>
        <v>44868</v>
      </c>
      <c r="D209" s="216">
        <f t="shared" si="58"/>
        <v>44888</v>
      </c>
      <c r="E209" s="54" t="s">
        <v>17</v>
      </c>
      <c r="F209" s="160">
        <v>9</v>
      </c>
      <c r="G209" s="197">
        <v>105</v>
      </c>
      <c r="H209" s="198">
        <f t="shared" si="46"/>
        <v>13.235929037012342</v>
      </c>
      <c r="I209" s="198">
        <f t="shared" si="57"/>
        <v>7.277381992063475</v>
      </c>
      <c r="J209" s="199">
        <f t="shared" si="47"/>
        <v>764.12510916666486</v>
      </c>
      <c r="K209" s="206">
        <f t="shared" si="60"/>
        <v>1389.7725488862959</v>
      </c>
      <c r="L209" s="205">
        <f t="shared" si="61"/>
        <v>-625.64743971963105</v>
      </c>
      <c r="M209" s="202">
        <f t="shared" si="48"/>
        <v>-34.164791013181997</v>
      </c>
      <c r="N209" s="203">
        <f t="shared" si="49"/>
        <v>-659.81223073281308</v>
      </c>
      <c r="O209" s="202">
        <v>0</v>
      </c>
      <c r="P209" s="202">
        <v>0</v>
      </c>
      <c r="Q209" s="202">
        <v>0</v>
      </c>
      <c r="R209" s="203">
        <f t="shared" si="50"/>
        <v>-659.81223073281308</v>
      </c>
    </row>
    <row r="210" spans="1:18" x14ac:dyDescent="0.2">
      <c r="A210" s="160">
        <v>11</v>
      </c>
      <c r="B210" s="195">
        <f t="shared" si="45"/>
        <v>44866</v>
      </c>
      <c r="C210" s="216">
        <f t="shared" si="58"/>
        <v>44900</v>
      </c>
      <c r="D210" s="216">
        <f t="shared" si="58"/>
        <v>44918</v>
      </c>
      <c r="E210" s="54" t="s">
        <v>17</v>
      </c>
      <c r="F210" s="160">
        <v>9</v>
      </c>
      <c r="G210" s="197">
        <v>104</v>
      </c>
      <c r="H210" s="198">
        <f t="shared" si="46"/>
        <v>13.235929037012342</v>
      </c>
      <c r="I210" s="198">
        <f t="shared" si="57"/>
        <v>7.277381992063475</v>
      </c>
      <c r="J210" s="199">
        <f t="shared" si="47"/>
        <v>756.84772717460146</v>
      </c>
      <c r="K210" s="206">
        <f>+$G210*H210</f>
        <v>1376.5366198492836</v>
      </c>
      <c r="L210" s="205">
        <f t="shared" si="61"/>
        <v>-619.68889267468217</v>
      </c>
      <c r="M210" s="202">
        <f t="shared" si="48"/>
        <v>-33.83941205115169</v>
      </c>
      <c r="N210" s="203">
        <f t="shared" si="49"/>
        <v>-653.52830472583389</v>
      </c>
      <c r="O210" s="202">
        <v>0</v>
      </c>
      <c r="P210" s="202">
        <v>0</v>
      </c>
      <c r="Q210" s="202">
        <v>0</v>
      </c>
      <c r="R210" s="203">
        <f t="shared" si="50"/>
        <v>-653.52830472583389</v>
      </c>
    </row>
    <row r="211" spans="1:18" s="220" customFormat="1" x14ac:dyDescent="0.2">
      <c r="A211" s="160">
        <v>12</v>
      </c>
      <c r="B211" s="218">
        <f t="shared" si="45"/>
        <v>44896</v>
      </c>
      <c r="C211" s="221">
        <f t="shared" si="58"/>
        <v>44930</v>
      </c>
      <c r="D211" s="221">
        <f t="shared" si="58"/>
        <v>44950</v>
      </c>
      <c r="E211" s="219" t="s">
        <v>17</v>
      </c>
      <c r="F211" s="171">
        <v>9</v>
      </c>
      <c r="G211" s="207">
        <v>104</v>
      </c>
      <c r="H211" s="208">
        <f t="shared" si="46"/>
        <v>13.235929037012342</v>
      </c>
      <c r="I211" s="208">
        <f t="shared" si="57"/>
        <v>7.277381992063475</v>
      </c>
      <c r="J211" s="209">
        <f t="shared" si="47"/>
        <v>756.84772717460146</v>
      </c>
      <c r="K211" s="210">
        <f>+$G211*H211</f>
        <v>1376.5366198492836</v>
      </c>
      <c r="L211" s="211">
        <f t="shared" si="61"/>
        <v>-619.68889267468217</v>
      </c>
      <c r="M211" s="209">
        <f t="shared" si="48"/>
        <v>-33.83941205115169</v>
      </c>
      <c r="N211" s="203">
        <f t="shared" si="49"/>
        <v>-653.52830472583389</v>
      </c>
      <c r="O211" s="202">
        <v>0</v>
      </c>
      <c r="P211" s="202">
        <v>0</v>
      </c>
      <c r="Q211" s="202">
        <v>0</v>
      </c>
      <c r="R211" s="203">
        <f t="shared" si="50"/>
        <v>-653.52830472583389</v>
      </c>
    </row>
    <row r="212" spans="1:18" x14ac:dyDescent="0.2">
      <c r="G212" s="226">
        <f>SUM(G20:G211)</f>
        <v>104674</v>
      </c>
      <c r="H212" s="51"/>
      <c r="I212" s="51"/>
      <c r="J212" s="51">
        <f>SUM(J20:J211)</f>
        <v>761752.68263725261</v>
      </c>
      <c r="K212" s="51">
        <f>SUM(K20:K211)</f>
        <v>1385457.6360202297</v>
      </c>
      <c r="L212" s="51">
        <f>SUM(L20:L211)</f>
        <v>-623704.95338297752</v>
      </c>
      <c r="M212" s="51">
        <f>SUM(M20:M211)</f>
        <v>-34058.717471560201</v>
      </c>
      <c r="N212" s="51"/>
      <c r="O212" s="51"/>
      <c r="P212" s="51">
        <f>SUM(P20:P211)</f>
        <v>0</v>
      </c>
      <c r="Q212" s="51"/>
      <c r="R212" s="227">
        <f>SUM(R20:R211)</f>
        <v>-657763.67085453833</v>
      </c>
    </row>
    <row r="213" spans="1:18" x14ac:dyDescent="0.2">
      <c r="P213" s="51"/>
      <c r="Q213" s="51"/>
    </row>
    <row r="220" spans="1:18" x14ac:dyDescent="0.2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46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MToxMi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NDo1Ny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67814C9F-6145-417D-BF91-17C37C06513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A17B9726-4A2F-4E68-A5A4-649038C8A81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Instructions</vt:lpstr>
      <vt:lpstr>Summary</vt:lpstr>
      <vt:lpstr>Pivot</vt:lpstr>
      <vt:lpstr>Transactions</vt:lpstr>
      <vt:lpstr>Transactions!AS1_1999</vt:lpstr>
      <vt:lpstr>Instructions!Print_Area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s349016</cp:lastModifiedBy>
  <cp:lastPrinted>2023-05-24T20:04:02Z</cp:lastPrinted>
  <dcterms:created xsi:type="dcterms:W3CDTF">2009-09-04T18:19:13Z</dcterms:created>
  <dcterms:modified xsi:type="dcterms:W3CDTF">2023-05-24T20:04:22Z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36af487e-f446-4740-a62b-40554c497e05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{67814C9F-6145-417D-BF91-17C37C065136}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</Properties>
</file>